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23" windowHeight="9840" activeTab="0"/>
  </bookViews>
  <sheets>
    <sheet name="海南省财政厅下属事业单位2021年公开招聘工作人员资格审查合格" sheetId="1" r:id="rId1"/>
  </sheets>
  <definedNames/>
  <calcPr fullCalcOnLoad="1"/>
</workbook>
</file>

<file path=xl/sharedStrings.xml><?xml version="1.0" encoding="utf-8"?>
<sst xmlns="http://schemas.openxmlformats.org/spreadsheetml/2006/main" count="1833" uniqueCount="13">
  <si>
    <t>序号</t>
  </si>
  <si>
    <t>报考号</t>
  </si>
  <si>
    <t>报考岗位</t>
  </si>
  <si>
    <t>姓名</t>
  </si>
  <si>
    <t>性别</t>
  </si>
  <si>
    <t>0101_综合岗（信息系统项目管理岗）</t>
  </si>
  <si>
    <t>0102_研发岗（应用软件开发岗）</t>
  </si>
  <si>
    <t>0103_网络安全岗</t>
  </si>
  <si>
    <t>0201_专业技术岗</t>
  </si>
  <si>
    <t>0301_办公室管理岗</t>
  </si>
  <si>
    <t>0302_财审科管理岗</t>
  </si>
  <si>
    <t>0401_项目资金管理</t>
  </si>
  <si>
    <t>附件：海南省财政厅下属事业单位2021年公开招聘工作人员资格审查合格人员名单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</si>
</sst>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9"/>
  <sheetViews>
    <sheetView tabSelected="1" workbookViewId="0" topLeftCell="A1">
      <selection activeCell="H4" sqref="H4"/>
    </sheetView>
  </sheetViews>
  <sheetFormatPr defaultColWidth="9.00390625" defaultRowHeight="15"/>
  <cols>
    <col min="1" max="1" width="13.421875" style="0" customWidth="1"/>
    <col min="2" max="2" width="31.8515625" style="0" customWidth="1"/>
    <col min="3" max="3" width="40.28125" style="0" customWidth="1"/>
    <col min="4" max="4" width="17.7109375" style="0" customWidth="1"/>
    <col min="5" max="5" width="13.8515625" style="0" customWidth="1"/>
  </cols>
  <sheetData>
    <row r="1" spans="1:5" ht="55.5" customHeight="1">
      <c r="A1" s="3" t="s">
        <v>12</v>
      </c>
      <c r="B1" s="3"/>
      <c r="C1" s="3"/>
      <c r="D1" s="3"/>
      <c r="E1" s="3"/>
    </row>
    <row r="2" spans="1:5" s="1" customFormat="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" customFormat="1" ht="34.5" customHeight="1">
      <c r="A3" s="2">
        <v>1</v>
      </c>
      <c r="B3" s="2" t="str">
        <f>"35932021120711354164556"</f>
        <v>35932021120711354164556</v>
      </c>
      <c r="C3" s="2" t="s">
        <v>5</v>
      </c>
      <c r="D3" s="2" t="str">
        <f>"陈忠贵"</f>
        <v>陈忠贵</v>
      </c>
      <c r="E3" s="2" t="str">
        <f>"男"</f>
        <v>男</v>
      </c>
    </row>
    <row r="4" spans="1:5" s="1" customFormat="1" ht="34.5" customHeight="1">
      <c r="A4" s="2">
        <v>2</v>
      </c>
      <c r="B4" s="2" t="str">
        <f>"35932021120711354164557"</f>
        <v>35932021120711354164557</v>
      </c>
      <c r="C4" s="2" t="s">
        <v>5</v>
      </c>
      <c r="D4" s="2" t="str">
        <f>"赵皓文"</f>
        <v>赵皓文</v>
      </c>
      <c r="E4" s="2" t="str">
        <f>"女"</f>
        <v>女</v>
      </c>
    </row>
    <row r="5" spans="1:5" s="1" customFormat="1" ht="34.5" customHeight="1">
      <c r="A5" s="2">
        <v>3</v>
      </c>
      <c r="B5" s="2" t="str">
        <f>"35932021120711371064563"</f>
        <v>35932021120711371064563</v>
      </c>
      <c r="C5" s="2" t="s">
        <v>5</v>
      </c>
      <c r="D5" s="2" t="str">
        <f>"谢鸿博"</f>
        <v>谢鸿博</v>
      </c>
      <c r="E5" s="2" t="str">
        <f>"男"</f>
        <v>男</v>
      </c>
    </row>
    <row r="6" spans="1:5" s="1" customFormat="1" ht="34.5" customHeight="1">
      <c r="A6" s="2">
        <v>4</v>
      </c>
      <c r="B6" s="2" t="str">
        <f>"35932021120711463964592"</f>
        <v>35932021120711463964592</v>
      </c>
      <c r="C6" s="2" t="s">
        <v>5</v>
      </c>
      <c r="D6" s="2" t="str">
        <f>"李雨娴"</f>
        <v>李雨娴</v>
      </c>
      <c r="E6" s="2" t="str">
        <f>"女"</f>
        <v>女</v>
      </c>
    </row>
    <row r="7" spans="1:5" s="1" customFormat="1" ht="34.5" customHeight="1">
      <c r="A7" s="2">
        <v>5</v>
      </c>
      <c r="B7" s="2" t="str">
        <f>"35932021120711563964618"</f>
        <v>35932021120711563964618</v>
      </c>
      <c r="C7" s="2" t="s">
        <v>5</v>
      </c>
      <c r="D7" s="2" t="str">
        <f>"苏菊"</f>
        <v>苏菊</v>
      </c>
      <c r="E7" s="2" t="str">
        <f>"女"</f>
        <v>女</v>
      </c>
    </row>
    <row r="8" spans="1:5" s="1" customFormat="1" ht="34.5" customHeight="1">
      <c r="A8" s="2">
        <v>6</v>
      </c>
      <c r="B8" s="2" t="str">
        <f>"35932021120714090364826"</f>
        <v>35932021120714090364826</v>
      </c>
      <c r="C8" s="2" t="s">
        <v>5</v>
      </c>
      <c r="D8" s="2" t="str">
        <f>"陈燕"</f>
        <v>陈燕</v>
      </c>
      <c r="E8" s="2" t="str">
        <f>"女"</f>
        <v>女</v>
      </c>
    </row>
    <row r="9" spans="1:5" s="1" customFormat="1" ht="34.5" customHeight="1">
      <c r="A9" s="2">
        <v>7</v>
      </c>
      <c r="B9" s="2" t="str">
        <f>"35932021120716164265169"</f>
        <v>35932021120716164265169</v>
      </c>
      <c r="C9" s="2" t="s">
        <v>5</v>
      </c>
      <c r="D9" s="2" t="str">
        <f>"符晓雯"</f>
        <v>符晓雯</v>
      </c>
      <c r="E9" s="2" t="str">
        <f>"女"</f>
        <v>女</v>
      </c>
    </row>
    <row r="10" spans="1:5" s="1" customFormat="1" ht="34.5" customHeight="1">
      <c r="A10" s="2">
        <v>8</v>
      </c>
      <c r="B10" s="2" t="str">
        <f>"35932021120717020165288"</f>
        <v>35932021120717020165288</v>
      </c>
      <c r="C10" s="2" t="s">
        <v>5</v>
      </c>
      <c r="D10" s="2" t="str">
        <f>"吴春燕"</f>
        <v>吴春燕</v>
      </c>
      <c r="E10" s="2" t="str">
        <f>"女"</f>
        <v>女</v>
      </c>
    </row>
    <row r="11" spans="1:5" s="1" customFormat="1" ht="34.5" customHeight="1">
      <c r="A11" s="2">
        <v>9</v>
      </c>
      <c r="B11" s="2" t="str">
        <f>"35932021120717375965341"</f>
        <v>35932021120717375965341</v>
      </c>
      <c r="C11" s="2" t="s">
        <v>5</v>
      </c>
      <c r="D11" s="2" t="str">
        <f>"陈太鹏"</f>
        <v>陈太鹏</v>
      </c>
      <c r="E11" s="2" t="str">
        <f aca="true" t="shared" si="0" ref="E11:E16">"男"</f>
        <v>男</v>
      </c>
    </row>
    <row r="12" spans="1:5" s="1" customFormat="1" ht="34.5" customHeight="1">
      <c r="A12" s="2">
        <v>10</v>
      </c>
      <c r="B12" s="2" t="str">
        <f>"35932021120719192565402"</f>
        <v>35932021120719192565402</v>
      </c>
      <c r="C12" s="2" t="s">
        <v>5</v>
      </c>
      <c r="D12" s="2" t="str">
        <f>"陈彦儒"</f>
        <v>陈彦儒</v>
      </c>
      <c r="E12" s="2" t="str">
        <f t="shared" si="0"/>
        <v>男</v>
      </c>
    </row>
    <row r="13" spans="1:5" s="1" customFormat="1" ht="34.5" customHeight="1">
      <c r="A13" s="2">
        <v>11</v>
      </c>
      <c r="B13" s="2" t="str">
        <f>"35932021120719291265414"</f>
        <v>35932021120719291265414</v>
      </c>
      <c r="C13" s="2" t="s">
        <v>5</v>
      </c>
      <c r="D13" s="2" t="str">
        <f>"吴壮"</f>
        <v>吴壮</v>
      </c>
      <c r="E13" s="2" t="str">
        <f t="shared" si="0"/>
        <v>男</v>
      </c>
    </row>
    <row r="14" spans="1:5" s="1" customFormat="1" ht="34.5" customHeight="1">
      <c r="A14" s="2">
        <v>12</v>
      </c>
      <c r="B14" s="2" t="str">
        <f>"35932021120721555365501"</f>
        <v>35932021120721555365501</v>
      </c>
      <c r="C14" s="2" t="s">
        <v>5</v>
      </c>
      <c r="D14" s="2" t="str">
        <f>"蔡崇法"</f>
        <v>蔡崇法</v>
      </c>
      <c r="E14" s="2" t="str">
        <f t="shared" si="0"/>
        <v>男</v>
      </c>
    </row>
    <row r="15" spans="1:5" s="1" customFormat="1" ht="34.5" customHeight="1">
      <c r="A15" s="2">
        <v>13</v>
      </c>
      <c r="B15" s="2" t="str">
        <f>"35932021120723383265553"</f>
        <v>35932021120723383265553</v>
      </c>
      <c r="C15" s="2" t="s">
        <v>5</v>
      </c>
      <c r="D15" s="2" t="str">
        <f>"刘学嘉"</f>
        <v>刘学嘉</v>
      </c>
      <c r="E15" s="2" t="str">
        <f t="shared" si="0"/>
        <v>男</v>
      </c>
    </row>
    <row r="16" spans="1:5" s="1" customFormat="1" ht="34.5" customHeight="1">
      <c r="A16" s="2">
        <v>14</v>
      </c>
      <c r="B16" s="2" t="str">
        <f>"35932021120723405365555"</f>
        <v>35932021120723405365555</v>
      </c>
      <c r="C16" s="2" t="s">
        <v>5</v>
      </c>
      <c r="D16" s="2" t="str">
        <f>"黄圣彪"</f>
        <v>黄圣彪</v>
      </c>
      <c r="E16" s="2" t="str">
        <f t="shared" si="0"/>
        <v>男</v>
      </c>
    </row>
    <row r="17" spans="1:5" s="1" customFormat="1" ht="34.5" customHeight="1">
      <c r="A17" s="2">
        <v>15</v>
      </c>
      <c r="B17" s="2" t="str">
        <f>"35932021120808172365575"</f>
        <v>35932021120808172365575</v>
      </c>
      <c r="C17" s="2" t="s">
        <v>5</v>
      </c>
      <c r="D17" s="2" t="str">
        <f>"王淑敏"</f>
        <v>王淑敏</v>
      </c>
      <c r="E17" s="2" t="str">
        <f>"女"</f>
        <v>女</v>
      </c>
    </row>
    <row r="18" spans="1:5" s="1" customFormat="1" ht="34.5" customHeight="1">
      <c r="A18" s="2">
        <v>16</v>
      </c>
      <c r="B18" s="2" t="str">
        <f>"35932021120809335465627"</f>
        <v>35932021120809335465627</v>
      </c>
      <c r="C18" s="2" t="s">
        <v>5</v>
      </c>
      <c r="D18" s="2" t="str">
        <f>"黄琳"</f>
        <v>黄琳</v>
      </c>
      <c r="E18" s="2" t="str">
        <f>"女"</f>
        <v>女</v>
      </c>
    </row>
    <row r="19" spans="1:5" s="1" customFormat="1" ht="34.5" customHeight="1">
      <c r="A19" s="2">
        <v>17</v>
      </c>
      <c r="B19" s="2" t="str">
        <f>"35932021120809501465648"</f>
        <v>35932021120809501465648</v>
      </c>
      <c r="C19" s="2" t="s">
        <v>5</v>
      </c>
      <c r="D19" s="2" t="str">
        <f>"莫璋俊"</f>
        <v>莫璋俊</v>
      </c>
      <c r="E19" s="2" t="str">
        <f>"男"</f>
        <v>男</v>
      </c>
    </row>
    <row r="20" spans="1:5" s="1" customFormat="1" ht="34.5" customHeight="1">
      <c r="A20" s="2">
        <v>18</v>
      </c>
      <c r="B20" s="2" t="str">
        <f>"35932021120810140165662"</f>
        <v>35932021120810140165662</v>
      </c>
      <c r="C20" s="2" t="s">
        <v>5</v>
      </c>
      <c r="D20" s="2" t="str">
        <f>"马明"</f>
        <v>马明</v>
      </c>
      <c r="E20" s="2" t="str">
        <f>"男"</f>
        <v>男</v>
      </c>
    </row>
    <row r="21" spans="1:5" s="1" customFormat="1" ht="34.5" customHeight="1">
      <c r="A21" s="2">
        <v>19</v>
      </c>
      <c r="B21" s="2" t="str">
        <f>"35932021120810141765663"</f>
        <v>35932021120810141765663</v>
      </c>
      <c r="C21" s="2" t="s">
        <v>5</v>
      </c>
      <c r="D21" s="2" t="str">
        <f>"廖苓杏"</f>
        <v>廖苓杏</v>
      </c>
      <c r="E21" s="2" t="str">
        <f>"女"</f>
        <v>女</v>
      </c>
    </row>
    <row r="22" spans="1:5" s="1" customFormat="1" ht="34.5" customHeight="1">
      <c r="A22" s="2">
        <v>20</v>
      </c>
      <c r="B22" s="2" t="str">
        <f>"35932021120812302965762"</f>
        <v>35932021120812302965762</v>
      </c>
      <c r="C22" s="2" t="s">
        <v>5</v>
      </c>
      <c r="D22" s="2" t="str">
        <f>"姚国铭"</f>
        <v>姚国铭</v>
      </c>
      <c r="E22" s="2" t="str">
        <f>"男"</f>
        <v>男</v>
      </c>
    </row>
    <row r="23" spans="1:5" s="1" customFormat="1" ht="34.5" customHeight="1">
      <c r="A23" s="2">
        <v>21</v>
      </c>
      <c r="B23" s="2" t="str">
        <f>"35932021120812522765770"</f>
        <v>35932021120812522765770</v>
      </c>
      <c r="C23" s="2" t="s">
        <v>5</v>
      </c>
      <c r="D23" s="2" t="str">
        <f>"王育英"</f>
        <v>王育英</v>
      </c>
      <c r="E23" s="2" t="str">
        <f>"男"</f>
        <v>男</v>
      </c>
    </row>
    <row r="24" spans="1:5" s="1" customFormat="1" ht="34.5" customHeight="1">
      <c r="A24" s="2">
        <v>22</v>
      </c>
      <c r="B24" s="2" t="str">
        <f>"35932021120813321865793"</f>
        <v>35932021120813321865793</v>
      </c>
      <c r="C24" s="2" t="s">
        <v>5</v>
      </c>
      <c r="D24" s="2" t="str">
        <f>"王佳兴"</f>
        <v>王佳兴</v>
      </c>
      <c r="E24" s="2" t="str">
        <f>"男"</f>
        <v>男</v>
      </c>
    </row>
    <row r="25" spans="1:5" s="1" customFormat="1" ht="34.5" customHeight="1">
      <c r="A25" s="2">
        <v>23</v>
      </c>
      <c r="B25" s="2" t="str">
        <f>"35932021120815403165860"</f>
        <v>35932021120815403165860</v>
      </c>
      <c r="C25" s="2" t="s">
        <v>5</v>
      </c>
      <c r="D25" s="2" t="str">
        <f>"朱园园"</f>
        <v>朱园园</v>
      </c>
      <c r="E25" s="2" t="str">
        <f>"女"</f>
        <v>女</v>
      </c>
    </row>
    <row r="26" spans="1:5" s="1" customFormat="1" ht="34.5" customHeight="1">
      <c r="A26" s="2">
        <v>24</v>
      </c>
      <c r="B26" s="2" t="str">
        <f>"35932021120815591065879"</f>
        <v>35932021120815591065879</v>
      </c>
      <c r="C26" s="2" t="s">
        <v>5</v>
      </c>
      <c r="D26" s="2" t="str">
        <f>"周良凯"</f>
        <v>周良凯</v>
      </c>
      <c r="E26" s="2" t="str">
        <f>"男"</f>
        <v>男</v>
      </c>
    </row>
    <row r="27" spans="1:5" s="1" customFormat="1" ht="34.5" customHeight="1">
      <c r="A27" s="2">
        <v>25</v>
      </c>
      <c r="B27" s="2" t="str">
        <f>"35932021120816231065895"</f>
        <v>35932021120816231065895</v>
      </c>
      <c r="C27" s="2" t="s">
        <v>5</v>
      </c>
      <c r="D27" s="2" t="str">
        <f>"夏誉森"</f>
        <v>夏誉森</v>
      </c>
      <c r="E27" s="2" t="str">
        <f>"男"</f>
        <v>男</v>
      </c>
    </row>
    <row r="28" spans="1:5" s="1" customFormat="1" ht="34.5" customHeight="1">
      <c r="A28" s="2">
        <v>26</v>
      </c>
      <c r="B28" s="2" t="str">
        <f>"35932021120816232965896"</f>
        <v>35932021120816232965896</v>
      </c>
      <c r="C28" s="2" t="s">
        <v>5</v>
      </c>
      <c r="D28" s="2" t="str">
        <f>"陈声晓"</f>
        <v>陈声晓</v>
      </c>
      <c r="E28" s="2" t="str">
        <f>"男"</f>
        <v>男</v>
      </c>
    </row>
    <row r="29" spans="1:5" s="1" customFormat="1" ht="34.5" customHeight="1">
      <c r="A29" s="2">
        <v>27</v>
      </c>
      <c r="B29" s="2" t="str">
        <f>"35932021120817405365936"</f>
        <v>35932021120817405365936</v>
      </c>
      <c r="C29" s="2" t="s">
        <v>5</v>
      </c>
      <c r="D29" s="2" t="str">
        <f>"卢鑫杰"</f>
        <v>卢鑫杰</v>
      </c>
      <c r="E29" s="2" t="str">
        <f>"男"</f>
        <v>男</v>
      </c>
    </row>
    <row r="30" spans="1:5" s="1" customFormat="1" ht="34.5" customHeight="1">
      <c r="A30" s="2">
        <v>28</v>
      </c>
      <c r="B30" s="2" t="str">
        <f>"35932021120820535766016"</f>
        <v>35932021120820535766016</v>
      </c>
      <c r="C30" s="2" t="s">
        <v>5</v>
      </c>
      <c r="D30" s="2" t="str">
        <f>"吕仕广"</f>
        <v>吕仕广</v>
      </c>
      <c r="E30" s="2" t="str">
        <f>"男"</f>
        <v>男</v>
      </c>
    </row>
    <row r="31" spans="1:5" s="1" customFormat="1" ht="34.5" customHeight="1">
      <c r="A31" s="2">
        <v>29</v>
      </c>
      <c r="B31" s="2" t="str">
        <f>"35932021120821071966028"</f>
        <v>35932021120821071966028</v>
      </c>
      <c r="C31" s="2" t="s">
        <v>5</v>
      </c>
      <c r="D31" s="2" t="str">
        <f>"吴晓倩"</f>
        <v>吴晓倩</v>
      </c>
      <c r="E31" s="2" t="str">
        <f>"女"</f>
        <v>女</v>
      </c>
    </row>
    <row r="32" spans="1:5" s="1" customFormat="1" ht="34.5" customHeight="1">
      <c r="A32" s="2">
        <v>30</v>
      </c>
      <c r="B32" s="2" t="str">
        <f>"35932021120821524166055"</f>
        <v>35932021120821524166055</v>
      </c>
      <c r="C32" s="2" t="s">
        <v>5</v>
      </c>
      <c r="D32" s="2" t="str">
        <f>"陈泰晶"</f>
        <v>陈泰晶</v>
      </c>
      <c r="E32" s="2" t="str">
        <f>"女"</f>
        <v>女</v>
      </c>
    </row>
    <row r="33" spans="1:5" s="1" customFormat="1" ht="34.5" customHeight="1">
      <c r="A33" s="2">
        <v>31</v>
      </c>
      <c r="B33" s="2" t="str">
        <f>"35932021120822523966078"</f>
        <v>35932021120822523966078</v>
      </c>
      <c r="C33" s="2" t="s">
        <v>5</v>
      </c>
      <c r="D33" s="2" t="str">
        <f>"吴耿"</f>
        <v>吴耿</v>
      </c>
      <c r="E33" s="2" t="str">
        <f>"男"</f>
        <v>男</v>
      </c>
    </row>
    <row r="34" spans="1:5" s="1" customFormat="1" ht="34.5" customHeight="1">
      <c r="A34" s="2">
        <v>32</v>
      </c>
      <c r="B34" s="2" t="str">
        <f>"35932021120909120966139"</f>
        <v>35932021120909120966139</v>
      </c>
      <c r="C34" s="2" t="s">
        <v>5</v>
      </c>
      <c r="D34" s="2" t="str">
        <f>"徐文玺"</f>
        <v>徐文玺</v>
      </c>
      <c r="E34" s="2" t="str">
        <f>"男"</f>
        <v>男</v>
      </c>
    </row>
    <row r="35" spans="1:5" s="1" customFormat="1" ht="34.5" customHeight="1">
      <c r="A35" s="2">
        <v>33</v>
      </c>
      <c r="B35" s="2" t="str">
        <f>"35932021120909161566142"</f>
        <v>35932021120909161566142</v>
      </c>
      <c r="C35" s="2" t="s">
        <v>5</v>
      </c>
      <c r="D35" s="2" t="str">
        <f>"符致慧"</f>
        <v>符致慧</v>
      </c>
      <c r="E35" s="2" t="str">
        <f>"女"</f>
        <v>女</v>
      </c>
    </row>
    <row r="36" spans="1:5" s="1" customFormat="1" ht="34.5" customHeight="1">
      <c r="A36" s="2">
        <v>34</v>
      </c>
      <c r="B36" s="2" t="str">
        <f>"35932021120910235466186"</f>
        <v>35932021120910235466186</v>
      </c>
      <c r="C36" s="2" t="s">
        <v>5</v>
      </c>
      <c r="D36" s="2" t="str">
        <f>"王艳"</f>
        <v>王艳</v>
      </c>
      <c r="E36" s="2" t="str">
        <f>"女"</f>
        <v>女</v>
      </c>
    </row>
    <row r="37" spans="1:5" s="1" customFormat="1" ht="34.5" customHeight="1">
      <c r="A37" s="2">
        <v>35</v>
      </c>
      <c r="B37" s="2" t="str">
        <f>"35932021120915313966319"</f>
        <v>35932021120915313966319</v>
      </c>
      <c r="C37" s="2" t="s">
        <v>5</v>
      </c>
      <c r="D37" s="2" t="str">
        <f>"邓雪银"</f>
        <v>邓雪银</v>
      </c>
      <c r="E37" s="2" t="str">
        <f>"女"</f>
        <v>女</v>
      </c>
    </row>
    <row r="38" spans="1:5" s="1" customFormat="1" ht="34.5" customHeight="1">
      <c r="A38" s="2">
        <v>36</v>
      </c>
      <c r="B38" s="2" t="str">
        <f>"35932021120915333066320"</f>
        <v>35932021120915333066320</v>
      </c>
      <c r="C38" s="2" t="s">
        <v>5</v>
      </c>
      <c r="D38" s="2" t="str">
        <f>"王珍珍"</f>
        <v>王珍珍</v>
      </c>
      <c r="E38" s="2" t="str">
        <f>"女"</f>
        <v>女</v>
      </c>
    </row>
    <row r="39" spans="1:5" s="1" customFormat="1" ht="34.5" customHeight="1">
      <c r="A39" s="2">
        <v>37</v>
      </c>
      <c r="B39" s="2" t="str">
        <f>"35932021120916010966334"</f>
        <v>35932021120916010966334</v>
      </c>
      <c r="C39" s="2" t="s">
        <v>5</v>
      </c>
      <c r="D39" s="2" t="str">
        <f>"王发鹏"</f>
        <v>王发鹏</v>
      </c>
      <c r="E39" s="2" t="str">
        <f>"男"</f>
        <v>男</v>
      </c>
    </row>
    <row r="40" spans="1:5" s="1" customFormat="1" ht="34.5" customHeight="1">
      <c r="A40" s="2">
        <v>38</v>
      </c>
      <c r="B40" s="2" t="str">
        <f>"35932021120919502166425"</f>
        <v>35932021120919502166425</v>
      </c>
      <c r="C40" s="2" t="s">
        <v>5</v>
      </c>
      <c r="D40" s="2" t="str">
        <f>"李燕娣"</f>
        <v>李燕娣</v>
      </c>
      <c r="E40" s="2" t="str">
        <f>"女"</f>
        <v>女</v>
      </c>
    </row>
    <row r="41" spans="1:5" s="1" customFormat="1" ht="34.5" customHeight="1">
      <c r="A41" s="2">
        <v>39</v>
      </c>
      <c r="B41" s="2" t="str">
        <f>"35932021120920302166435"</f>
        <v>35932021120920302166435</v>
      </c>
      <c r="C41" s="2" t="s">
        <v>5</v>
      </c>
      <c r="D41" s="2" t="str">
        <f>"邢王秀"</f>
        <v>邢王秀</v>
      </c>
      <c r="E41" s="2" t="str">
        <f>"男"</f>
        <v>男</v>
      </c>
    </row>
    <row r="42" spans="1:5" s="1" customFormat="1" ht="34.5" customHeight="1">
      <c r="A42" s="2">
        <v>40</v>
      </c>
      <c r="B42" s="2" t="str">
        <f>"35932021120921335666457"</f>
        <v>35932021120921335666457</v>
      </c>
      <c r="C42" s="2" t="s">
        <v>5</v>
      </c>
      <c r="D42" s="2" t="str">
        <f>"何长轩"</f>
        <v>何长轩</v>
      </c>
      <c r="E42" s="2" t="str">
        <f>"男"</f>
        <v>男</v>
      </c>
    </row>
    <row r="43" spans="1:5" s="1" customFormat="1" ht="34.5" customHeight="1">
      <c r="A43" s="2">
        <v>41</v>
      </c>
      <c r="B43" s="2" t="str">
        <f>"35932021121008495066496"</f>
        <v>35932021121008495066496</v>
      </c>
      <c r="C43" s="2" t="s">
        <v>5</v>
      </c>
      <c r="D43" s="2" t="str">
        <f>"林斯辉"</f>
        <v>林斯辉</v>
      </c>
      <c r="E43" s="2" t="str">
        <f>"男"</f>
        <v>男</v>
      </c>
    </row>
    <row r="44" spans="1:5" s="1" customFormat="1" ht="34.5" customHeight="1">
      <c r="A44" s="2">
        <v>42</v>
      </c>
      <c r="B44" s="2" t="str">
        <f>"35932021121010022566511"</f>
        <v>35932021121010022566511</v>
      </c>
      <c r="C44" s="2" t="s">
        <v>5</v>
      </c>
      <c r="D44" s="2" t="str">
        <f>"黄园瑜"</f>
        <v>黄园瑜</v>
      </c>
      <c r="E44" s="2" t="str">
        <f>"女"</f>
        <v>女</v>
      </c>
    </row>
    <row r="45" spans="1:5" s="1" customFormat="1" ht="34.5" customHeight="1">
      <c r="A45" s="2">
        <v>43</v>
      </c>
      <c r="B45" s="2" t="str">
        <f>"35932021121116072866802"</f>
        <v>35932021121116072866802</v>
      </c>
      <c r="C45" s="2" t="s">
        <v>5</v>
      </c>
      <c r="D45" s="2" t="str">
        <f>"严东"</f>
        <v>严东</v>
      </c>
      <c r="E45" s="2" t="str">
        <f>"男"</f>
        <v>男</v>
      </c>
    </row>
    <row r="46" spans="1:5" s="1" customFormat="1" ht="34.5" customHeight="1">
      <c r="A46" s="2">
        <v>44</v>
      </c>
      <c r="B46" s="2" t="str">
        <f>"35932021121117105866816"</f>
        <v>35932021121117105866816</v>
      </c>
      <c r="C46" s="2" t="s">
        <v>5</v>
      </c>
      <c r="D46" s="2" t="str">
        <f>"何贤椿"</f>
        <v>何贤椿</v>
      </c>
      <c r="E46" s="2" t="str">
        <f>"男"</f>
        <v>男</v>
      </c>
    </row>
    <row r="47" spans="1:5" s="1" customFormat="1" ht="34.5" customHeight="1">
      <c r="A47" s="2">
        <v>45</v>
      </c>
      <c r="B47" s="2" t="str">
        <f>"35932021121121385266860"</f>
        <v>35932021121121385266860</v>
      </c>
      <c r="C47" s="2" t="s">
        <v>5</v>
      </c>
      <c r="D47" s="2" t="str">
        <f>"陈芸"</f>
        <v>陈芸</v>
      </c>
      <c r="E47" s="2" t="str">
        <f>"女"</f>
        <v>女</v>
      </c>
    </row>
    <row r="48" spans="1:5" s="1" customFormat="1" ht="34.5" customHeight="1">
      <c r="A48" s="2">
        <v>46</v>
      </c>
      <c r="B48" s="2" t="str">
        <f>"35932021121122165866869"</f>
        <v>35932021121122165866869</v>
      </c>
      <c r="C48" s="2" t="s">
        <v>5</v>
      </c>
      <c r="D48" s="2" t="str">
        <f>"翁贤虎"</f>
        <v>翁贤虎</v>
      </c>
      <c r="E48" s="2" t="str">
        <f>"男"</f>
        <v>男</v>
      </c>
    </row>
    <row r="49" spans="1:5" s="1" customFormat="1" ht="34.5" customHeight="1">
      <c r="A49" s="2">
        <v>47</v>
      </c>
      <c r="B49" s="2" t="str">
        <f>"35932021121209283666890"</f>
        <v>35932021121209283666890</v>
      </c>
      <c r="C49" s="2" t="s">
        <v>5</v>
      </c>
      <c r="D49" s="2" t="str">
        <f>"李传坚"</f>
        <v>李传坚</v>
      </c>
      <c r="E49" s="2" t="str">
        <f>"男"</f>
        <v>男</v>
      </c>
    </row>
    <row r="50" spans="1:5" s="1" customFormat="1" ht="34.5" customHeight="1">
      <c r="A50" s="2">
        <v>48</v>
      </c>
      <c r="B50" s="2" t="str">
        <f>"35932021121211142266911"</f>
        <v>35932021121211142266911</v>
      </c>
      <c r="C50" s="2" t="s">
        <v>5</v>
      </c>
      <c r="D50" s="2" t="str">
        <f>"姜舟"</f>
        <v>姜舟</v>
      </c>
      <c r="E50" s="2" t="str">
        <f>"男"</f>
        <v>男</v>
      </c>
    </row>
    <row r="51" spans="1:5" s="1" customFormat="1" ht="34.5" customHeight="1">
      <c r="A51" s="2">
        <v>49</v>
      </c>
      <c r="B51" s="2" t="str">
        <f>"35932021121216102466961"</f>
        <v>35932021121216102466961</v>
      </c>
      <c r="C51" s="2" t="s">
        <v>5</v>
      </c>
      <c r="D51" s="2" t="str">
        <f>"周琦"</f>
        <v>周琦</v>
      </c>
      <c r="E51" s="2" t="str">
        <f>"女"</f>
        <v>女</v>
      </c>
    </row>
    <row r="52" spans="1:5" s="1" customFormat="1" ht="34.5" customHeight="1">
      <c r="A52" s="2">
        <v>50</v>
      </c>
      <c r="B52" s="2" t="str">
        <f>"35932021121308501467067"</f>
        <v>35932021121308501467067</v>
      </c>
      <c r="C52" s="2" t="s">
        <v>5</v>
      </c>
      <c r="D52" s="2" t="str">
        <f>"黄湘华"</f>
        <v>黄湘华</v>
      </c>
      <c r="E52" s="2" t="str">
        <f>"女"</f>
        <v>女</v>
      </c>
    </row>
    <row r="53" spans="1:5" s="1" customFormat="1" ht="34.5" customHeight="1">
      <c r="A53" s="2">
        <v>51</v>
      </c>
      <c r="B53" s="2" t="str">
        <f>"35932021121309020367072"</f>
        <v>35932021121309020367072</v>
      </c>
      <c r="C53" s="2" t="s">
        <v>5</v>
      </c>
      <c r="D53" s="2" t="str">
        <f>"朱昱霖"</f>
        <v>朱昱霖</v>
      </c>
      <c r="E53" s="2" t="str">
        <f>"男"</f>
        <v>男</v>
      </c>
    </row>
    <row r="54" spans="1:5" s="1" customFormat="1" ht="34.5" customHeight="1">
      <c r="A54" s="2">
        <v>52</v>
      </c>
      <c r="B54" s="2" t="str">
        <f>"35932021121311400667134"</f>
        <v>35932021121311400667134</v>
      </c>
      <c r="C54" s="2" t="s">
        <v>5</v>
      </c>
      <c r="D54" s="2" t="str">
        <f>"周小春"</f>
        <v>周小春</v>
      </c>
      <c r="E54" s="2" t="str">
        <f>"女"</f>
        <v>女</v>
      </c>
    </row>
    <row r="55" spans="1:5" s="1" customFormat="1" ht="34.5" customHeight="1">
      <c r="A55" s="2">
        <v>53</v>
      </c>
      <c r="B55" s="2" t="str">
        <f>"35932021121312133267146"</f>
        <v>35932021121312133267146</v>
      </c>
      <c r="C55" s="2" t="s">
        <v>5</v>
      </c>
      <c r="D55" s="2" t="str">
        <f>"王寅"</f>
        <v>王寅</v>
      </c>
      <c r="E55" s="2" t="str">
        <f>"男"</f>
        <v>男</v>
      </c>
    </row>
    <row r="56" spans="1:5" s="1" customFormat="1" ht="34.5" customHeight="1">
      <c r="A56" s="2">
        <v>54</v>
      </c>
      <c r="B56" s="2" t="str">
        <f>"35932021121313085567166"</f>
        <v>35932021121313085567166</v>
      </c>
      <c r="C56" s="2" t="s">
        <v>5</v>
      </c>
      <c r="D56" s="2" t="str">
        <f>"许弘姐"</f>
        <v>许弘姐</v>
      </c>
      <c r="E56" s="2" t="str">
        <f>"女"</f>
        <v>女</v>
      </c>
    </row>
    <row r="57" spans="1:5" s="1" customFormat="1" ht="34.5" customHeight="1">
      <c r="A57" s="2">
        <v>55</v>
      </c>
      <c r="B57" s="2" t="str">
        <f>"35932021121314365567185"</f>
        <v>35932021121314365567185</v>
      </c>
      <c r="C57" s="2" t="s">
        <v>5</v>
      </c>
      <c r="D57" s="2" t="str">
        <f>"苏豪"</f>
        <v>苏豪</v>
      </c>
      <c r="E57" s="2" t="str">
        <f>"男"</f>
        <v>男</v>
      </c>
    </row>
    <row r="58" spans="1:5" s="1" customFormat="1" ht="34.5" customHeight="1">
      <c r="A58" s="2">
        <v>56</v>
      </c>
      <c r="B58" s="2" t="str">
        <f>"35932021121316090167227"</f>
        <v>35932021121316090167227</v>
      </c>
      <c r="C58" s="2" t="s">
        <v>5</v>
      </c>
      <c r="D58" s="2" t="str">
        <f>"邱杨杰"</f>
        <v>邱杨杰</v>
      </c>
      <c r="E58" s="2" t="str">
        <f>"男"</f>
        <v>男</v>
      </c>
    </row>
    <row r="59" spans="1:5" s="1" customFormat="1" ht="34.5" customHeight="1">
      <c r="A59" s="2">
        <v>57</v>
      </c>
      <c r="B59" s="2" t="str">
        <f>"35932021121316243567233"</f>
        <v>35932021121316243567233</v>
      </c>
      <c r="C59" s="2" t="s">
        <v>5</v>
      </c>
      <c r="D59" s="2" t="str">
        <f>"黄昌海"</f>
        <v>黄昌海</v>
      </c>
      <c r="E59" s="2" t="str">
        <f>"男"</f>
        <v>男</v>
      </c>
    </row>
    <row r="60" spans="1:5" s="1" customFormat="1" ht="34.5" customHeight="1">
      <c r="A60" s="2">
        <v>58</v>
      </c>
      <c r="B60" s="2" t="str">
        <f>"35932021121317420867257"</f>
        <v>35932021121317420867257</v>
      </c>
      <c r="C60" s="2" t="s">
        <v>5</v>
      </c>
      <c r="D60" s="2" t="str">
        <f>"周贞莲"</f>
        <v>周贞莲</v>
      </c>
      <c r="E60" s="2" t="str">
        <f>"女"</f>
        <v>女</v>
      </c>
    </row>
    <row r="61" spans="1:5" s="1" customFormat="1" ht="34.5" customHeight="1">
      <c r="A61" s="2">
        <v>59</v>
      </c>
      <c r="B61" s="2" t="str">
        <f>"35932021121320165367289"</f>
        <v>35932021121320165367289</v>
      </c>
      <c r="C61" s="2" t="s">
        <v>5</v>
      </c>
      <c r="D61" s="2" t="str">
        <f>"梁振中"</f>
        <v>梁振中</v>
      </c>
      <c r="E61" s="2" t="str">
        <f>"男"</f>
        <v>男</v>
      </c>
    </row>
    <row r="62" spans="1:5" s="1" customFormat="1" ht="34.5" customHeight="1">
      <c r="A62" s="2">
        <v>60</v>
      </c>
      <c r="B62" s="2" t="str">
        <f>"35932021121320205467290"</f>
        <v>35932021121320205467290</v>
      </c>
      <c r="C62" s="2" t="s">
        <v>5</v>
      </c>
      <c r="D62" s="2" t="str">
        <f>"邝超"</f>
        <v>邝超</v>
      </c>
      <c r="E62" s="2" t="str">
        <f>"男"</f>
        <v>男</v>
      </c>
    </row>
    <row r="63" spans="1:5" s="1" customFormat="1" ht="34.5" customHeight="1">
      <c r="A63" s="2">
        <v>61</v>
      </c>
      <c r="B63" s="2" t="str">
        <f>"35932021121321282467315"</f>
        <v>35932021121321282467315</v>
      </c>
      <c r="C63" s="2" t="s">
        <v>5</v>
      </c>
      <c r="D63" s="2" t="str">
        <f>"钟斌"</f>
        <v>钟斌</v>
      </c>
      <c r="E63" s="2" t="str">
        <f>"男"</f>
        <v>男</v>
      </c>
    </row>
    <row r="64" spans="1:5" s="1" customFormat="1" ht="34.5" customHeight="1">
      <c r="A64" s="2">
        <v>62</v>
      </c>
      <c r="B64" s="2" t="str">
        <f>"35932021121321293167316"</f>
        <v>35932021121321293167316</v>
      </c>
      <c r="C64" s="2" t="s">
        <v>5</v>
      </c>
      <c r="D64" s="2" t="str">
        <f>"孙庆思"</f>
        <v>孙庆思</v>
      </c>
      <c r="E64" s="2" t="str">
        <f>"男"</f>
        <v>男</v>
      </c>
    </row>
    <row r="65" spans="1:5" s="1" customFormat="1" ht="34.5" customHeight="1">
      <c r="A65" s="2">
        <v>63</v>
      </c>
      <c r="B65" s="2" t="str">
        <f>"35932021121406075367348"</f>
        <v>35932021121406075367348</v>
      </c>
      <c r="C65" s="2" t="s">
        <v>5</v>
      </c>
      <c r="D65" s="2" t="str">
        <f>"王碧蓉"</f>
        <v>王碧蓉</v>
      </c>
      <c r="E65" s="2" t="str">
        <f>"女"</f>
        <v>女</v>
      </c>
    </row>
    <row r="66" spans="1:5" s="1" customFormat="1" ht="34.5" customHeight="1">
      <c r="A66" s="2">
        <v>64</v>
      </c>
      <c r="B66" s="2" t="str">
        <f>"35932021121409075367354"</f>
        <v>35932021121409075367354</v>
      </c>
      <c r="C66" s="2" t="s">
        <v>5</v>
      </c>
      <c r="D66" s="2" t="str">
        <f>"陈淑贞"</f>
        <v>陈淑贞</v>
      </c>
      <c r="E66" s="2" t="str">
        <f>"女"</f>
        <v>女</v>
      </c>
    </row>
    <row r="67" spans="1:5" s="1" customFormat="1" ht="34.5" customHeight="1">
      <c r="A67" s="2">
        <v>65</v>
      </c>
      <c r="B67" s="2" t="str">
        <f>"35932021121410192967376"</f>
        <v>35932021121410192967376</v>
      </c>
      <c r="C67" s="2" t="s">
        <v>5</v>
      </c>
      <c r="D67" s="2" t="str">
        <f>"欧玲燕"</f>
        <v>欧玲燕</v>
      </c>
      <c r="E67" s="2" t="str">
        <f>"女"</f>
        <v>女</v>
      </c>
    </row>
    <row r="68" spans="1:5" s="1" customFormat="1" ht="34.5" customHeight="1">
      <c r="A68" s="2">
        <v>66</v>
      </c>
      <c r="B68" s="2" t="str">
        <f>"35932021121410464067386"</f>
        <v>35932021121410464067386</v>
      </c>
      <c r="C68" s="2" t="s">
        <v>5</v>
      </c>
      <c r="D68" s="2" t="str">
        <f>"任华金"</f>
        <v>任华金</v>
      </c>
      <c r="E68" s="2" t="str">
        <f>"女"</f>
        <v>女</v>
      </c>
    </row>
    <row r="69" spans="1:5" s="1" customFormat="1" ht="34.5" customHeight="1">
      <c r="A69" s="2">
        <v>67</v>
      </c>
      <c r="B69" s="2" t="str">
        <f>"35932021121413352467423"</f>
        <v>35932021121413352467423</v>
      </c>
      <c r="C69" s="2" t="s">
        <v>5</v>
      </c>
      <c r="D69" s="2" t="str">
        <f>"薛冰"</f>
        <v>薛冰</v>
      </c>
      <c r="E69" s="2" t="str">
        <f>"女"</f>
        <v>女</v>
      </c>
    </row>
    <row r="70" spans="1:5" s="1" customFormat="1" ht="34.5" customHeight="1">
      <c r="A70" s="2">
        <v>68</v>
      </c>
      <c r="B70" s="2" t="str">
        <f>"35932021121414540667437"</f>
        <v>35932021121414540667437</v>
      </c>
      <c r="C70" s="2" t="s">
        <v>5</v>
      </c>
      <c r="D70" s="2" t="str">
        <f>"赖加利"</f>
        <v>赖加利</v>
      </c>
      <c r="E70" s="2" t="str">
        <f>"男"</f>
        <v>男</v>
      </c>
    </row>
    <row r="71" spans="1:5" s="1" customFormat="1" ht="34.5" customHeight="1">
      <c r="A71" s="2">
        <v>69</v>
      </c>
      <c r="B71" s="2" t="str">
        <f>"35932021121416235967463"</f>
        <v>35932021121416235967463</v>
      </c>
      <c r="C71" s="2" t="s">
        <v>5</v>
      </c>
      <c r="D71" s="2" t="str">
        <f>"潘婷"</f>
        <v>潘婷</v>
      </c>
      <c r="E71" s="2" t="str">
        <f>"女"</f>
        <v>女</v>
      </c>
    </row>
    <row r="72" spans="1:5" s="1" customFormat="1" ht="34.5" customHeight="1">
      <c r="A72" s="2">
        <v>70</v>
      </c>
      <c r="B72" s="2" t="str">
        <f>"35932021121514461767632"</f>
        <v>35932021121514461767632</v>
      </c>
      <c r="C72" s="2" t="s">
        <v>5</v>
      </c>
      <c r="D72" s="2" t="str">
        <f>"王玲"</f>
        <v>王玲</v>
      </c>
      <c r="E72" s="2" t="str">
        <f>"女"</f>
        <v>女</v>
      </c>
    </row>
    <row r="73" spans="1:5" s="1" customFormat="1" ht="34.5" customHeight="1">
      <c r="A73" s="2">
        <v>71</v>
      </c>
      <c r="B73" s="2" t="str">
        <f>"35932021121515374567640"</f>
        <v>35932021121515374567640</v>
      </c>
      <c r="C73" s="2" t="s">
        <v>5</v>
      </c>
      <c r="D73" s="2" t="str">
        <f>"何萍"</f>
        <v>何萍</v>
      </c>
      <c r="E73" s="2" t="str">
        <f>"女"</f>
        <v>女</v>
      </c>
    </row>
    <row r="74" spans="1:5" s="1" customFormat="1" ht="34.5" customHeight="1">
      <c r="A74" s="2">
        <v>72</v>
      </c>
      <c r="B74" s="2" t="str">
        <f>"35932021121516013767648"</f>
        <v>35932021121516013767648</v>
      </c>
      <c r="C74" s="2" t="s">
        <v>5</v>
      </c>
      <c r="D74" s="2" t="str">
        <f>"荣上荣"</f>
        <v>荣上荣</v>
      </c>
      <c r="E74" s="2" t="str">
        <f>"男"</f>
        <v>男</v>
      </c>
    </row>
    <row r="75" spans="1:5" s="1" customFormat="1" ht="34.5" customHeight="1">
      <c r="A75" s="2">
        <v>73</v>
      </c>
      <c r="B75" s="2" t="str">
        <f>"35932021121520411167716"</f>
        <v>35932021121520411167716</v>
      </c>
      <c r="C75" s="2" t="s">
        <v>5</v>
      </c>
      <c r="D75" s="2" t="str">
        <f>"李育任"</f>
        <v>李育任</v>
      </c>
      <c r="E75" s="2" t="str">
        <f>"男"</f>
        <v>男</v>
      </c>
    </row>
    <row r="76" spans="1:5" s="1" customFormat="1" ht="34.5" customHeight="1">
      <c r="A76" s="2">
        <v>74</v>
      </c>
      <c r="B76" s="2" t="str">
        <f>"35932021121521462167733"</f>
        <v>35932021121521462167733</v>
      </c>
      <c r="C76" s="2" t="s">
        <v>5</v>
      </c>
      <c r="D76" s="2" t="str">
        <f>"王义铭"</f>
        <v>王义铭</v>
      </c>
      <c r="E76" s="2" t="str">
        <f>"男"</f>
        <v>男</v>
      </c>
    </row>
    <row r="77" spans="1:5" s="1" customFormat="1" ht="34.5" customHeight="1">
      <c r="A77" s="2">
        <v>75</v>
      </c>
      <c r="B77" s="2" t="str">
        <f>"35932021121522391067743"</f>
        <v>35932021121522391067743</v>
      </c>
      <c r="C77" s="2" t="s">
        <v>5</v>
      </c>
      <c r="D77" s="2" t="str">
        <f>"张景飞"</f>
        <v>张景飞</v>
      </c>
      <c r="E77" s="2" t="str">
        <f>"男"</f>
        <v>男</v>
      </c>
    </row>
    <row r="78" spans="1:5" s="1" customFormat="1" ht="34.5" customHeight="1">
      <c r="A78" s="2">
        <v>76</v>
      </c>
      <c r="B78" s="2" t="str">
        <f>"35932021121522410267744"</f>
        <v>35932021121522410267744</v>
      </c>
      <c r="C78" s="2" t="s">
        <v>5</v>
      </c>
      <c r="D78" s="2" t="str">
        <f>"王后贤"</f>
        <v>王后贤</v>
      </c>
      <c r="E78" s="2" t="str">
        <f>"男"</f>
        <v>男</v>
      </c>
    </row>
    <row r="79" spans="1:5" s="1" customFormat="1" ht="34.5" customHeight="1">
      <c r="A79" s="2">
        <v>77</v>
      </c>
      <c r="B79" s="2" t="str">
        <f>"35932021121522434867745"</f>
        <v>35932021121522434867745</v>
      </c>
      <c r="C79" s="2" t="s">
        <v>5</v>
      </c>
      <c r="D79" s="2" t="str">
        <f>"华红伶"</f>
        <v>华红伶</v>
      </c>
      <c r="E79" s="2" t="str">
        <f>"女"</f>
        <v>女</v>
      </c>
    </row>
    <row r="80" spans="1:5" s="1" customFormat="1" ht="34.5" customHeight="1">
      <c r="A80" s="2">
        <v>78</v>
      </c>
      <c r="B80" s="2" t="str">
        <f>"35932021121522535967747"</f>
        <v>35932021121522535967747</v>
      </c>
      <c r="C80" s="2" t="s">
        <v>5</v>
      </c>
      <c r="D80" s="2" t="str">
        <f>"李锐"</f>
        <v>李锐</v>
      </c>
      <c r="E80" s="2" t="str">
        <f>"男"</f>
        <v>男</v>
      </c>
    </row>
    <row r="81" spans="1:5" s="1" customFormat="1" ht="34.5" customHeight="1">
      <c r="A81" s="2">
        <v>79</v>
      </c>
      <c r="B81" s="2" t="str">
        <f>"35932021121610311667787"</f>
        <v>35932021121610311667787</v>
      </c>
      <c r="C81" s="2" t="s">
        <v>5</v>
      </c>
      <c r="D81" s="2" t="str">
        <f>"王海珍"</f>
        <v>王海珍</v>
      </c>
      <c r="E81" s="2" t="str">
        <f>"女"</f>
        <v>女</v>
      </c>
    </row>
    <row r="82" spans="1:5" s="1" customFormat="1" ht="34.5" customHeight="1">
      <c r="A82" s="2">
        <v>80</v>
      </c>
      <c r="B82" s="2" t="str">
        <f>"35932021121610580167790"</f>
        <v>35932021121610580167790</v>
      </c>
      <c r="C82" s="2" t="s">
        <v>5</v>
      </c>
      <c r="D82" s="2" t="str">
        <f>"王韵"</f>
        <v>王韵</v>
      </c>
      <c r="E82" s="2" t="str">
        <f>"女"</f>
        <v>女</v>
      </c>
    </row>
    <row r="83" spans="1:5" s="1" customFormat="1" ht="34.5" customHeight="1">
      <c r="A83" s="2">
        <v>81</v>
      </c>
      <c r="B83" s="2" t="str">
        <f>"35932021121619540467881"</f>
        <v>35932021121619540467881</v>
      </c>
      <c r="C83" s="2" t="s">
        <v>5</v>
      </c>
      <c r="D83" s="2" t="str">
        <f>"许金"</f>
        <v>许金</v>
      </c>
      <c r="E83" s="2" t="str">
        <f>"女"</f>
        <v>女</v>
      </c>
    </row>
    <row r="84" spans="1:5" s="1" customFormat="1" ht="34.5" customHeight="1">
      <c r="A84" s="2">
        <v>82</v>
      </c>
      <c r="B84" s="2" t="str">
        <f>"35932021121711160567942"</f>
        <v>35932021121711160567942</v>
      </c>
      <c r="C84" s="2" t="s">
        <v>5</v>
      </c>
      <c r="D84" s="2" t="str">
        <f>"陈宏林"</f>
        <v>陈宏林</v>
      </c>
      <c r="E84" s="2" t="str">
        <f>"男"</f>
        <v>男</v>
      </c>
    </row>
    <row r="85" spans="1:5" s="1" customFormat="1" ht="34.5" customHeight="1">
      <c r="A85" s="2">
        <v>83</v>
      </c>
      <c r="B85" s="2" t="str">
        <f>"35932021121712390967952"</f>
        <v>35932021121712390967952</v>
      </c>
      <c r="C85" s="2" t="s">
        <v>5</v>
      </c>
      <c r="D85" s="2" t="str">
        <f>"符燕萍"</f>
        <v>符燕萍</v>
      </c>
      <c r="E85" s="2" t="str">
        <f>"女"</f>
        <v>女</v>
      </c>
    </row>
    <row r="86" spans="1:5" s="1" customFormat="1" ht="34.5" customHeight="1">
      <c r="A86" s="2">
        <v>84</v>
      </c>
      <c r="B86" s="2" t="str">
        <f>"35932021121720525468022"</f>
        <v>35932021121720525468022</v>
      </c>
      <c r="C86" s="2" t="s">
        <v>5</v>
      </c>
      <c r="D86" s="2" t="str">
        <f>"李皎余"</f>
        <v>李皎余</v>
      </c>
      <c r="E86" s="2" t="str">
        <f>"女"</f>
        <v>女</v>
      </c>
    </row>
    <row r="87" spans="1:5" s="1" customFormat="1" ht="34.5" customHeight="1">
      <c r="A87" s="2">
        <v>85</v>
      </c>
      <c r="B87" s="2" t="str">
        <f>"35932021121817514968236"</f>
        <v>35932021121817514968236</v>
      </c>
      <c r="C87" s="2" t="s">
        <v>5</v>
      </c>
      <c r="D87" s="2" t="str">
        <f>"吴燕茹"</f>
        <v>吴燕茹</v>
      </c>
      <c r="E87" s="2" t="str">
        <f>"女"</f>
        <v>女</v>
      </c>
    </row>
    <row r="88" spans="1:5" s="1" customFormat="1" ht="34.5" customHeight="1">
      <c r="A88" s="2">
        <v>86</v>
      </c>
      <c r="B88" s="2" t="str">
        <f>"35932021121818021368240"</f>
        <v>35932021121818021368240</v>
      </c>
      <c r="C88" s="2" t="s">
        <v>5</v>
      </c>
      <c r="D88" s="2" t="str">
        <f>"王海敏"</f>
        <v>王海敏</v>
      </c>
      <c r="E88" s="2" t="str">
        <f>"女"</f>
        <v>女</v>
      </c>
    </row>
    <row r="89" spans="1:5" s="1" customFormat="1" ht="34.5" customHeight="1">
      <c r="A89" s="2">
        <v>87</v>
      </c>
      <c r="B89" s="2" t="str">
        <f>"35932021121818294768246"</f>
        <v>35932021121818294768246</v>
      </c>
      <c r="C89" s="2" t="s">
        <v>5</v>
      </c>
      <c r="D89" s="2" t="str">
        <f>"文璐璐"</f>
        <v>文璐璐</v>
      </c>
      <c r="E89" s="2" t="str">
        <f>"女"</f>
        <v>女</v>
      </c>
    </row>
    <row r="90" spans="1:5" s="1" customFormat="1" ht="34.5" customHeight="1">
      <c r="A90" s="2">
        <v>88</v>
      </c>
      <c r="B90" s="2" t="str">
        <f>"35932021121821012168291"</f>
        <v>35932021121821012168291</v>
      </c>
      <c r="C90" s="2" t="s">
        <v>5</v>
      </c>
      <c r="D90" s="2" t="str">
        <f>"林师麟"</f>
        <v>林师麟</v>
      </c>
      <c r="E90" s="2" t="str">
        <f>"男"</f>
        <v>男</v>
      </c>
    </row>
    <row r="91" spans="1:5" s="1" customFormat="1" ht="34.5" customHeight="1">
      <c r="A91" s="2">
        <v>89</v>
      </c>
      <c r="B91" s="2" t="str">
        <f>"35932021121822535968321"</f>
        <v>35932021121822535968321</v>
      </c>
      <c r="C91" s="2" t="s">
        <v>5</v>
      </c>
      <c r="D91" s="2" t="str">
        <f>"高芳燕"</f>
        <v>高芳燕</v>
      </c>
      <c r="E91" s="2" t="str">
        <f>"女"</f>
        <v>女</v>
      </c>
    </row>
    <row r="92" spans="1:5" s="1" customFormat="1" ht="34.5" customHeight="1">
      <c r="A92" s="2">
        <v>90</v>
      </c>
      <c r="B92" s="2" t="str">
        <f>"35932021121910380468400"</f>
        <v>35932021121910380468400</v>
      </c>
      <c r="C92" s="2" t="s">
        <v>5</v>
      </c>
      <c r="D92" s="2" t="str">
        <f>"陈振河"</f>
        <v>陈振河</v>
      </c>
      <c r="E92" s="2" t="str">
        <f>"男"</f>
        <v>男</v>
      </c>
    </row>
    <row r="93" spans="1:5" s="1" customFormat="1" ht="34.5" customHeight="1">
      <c r="A93" s="2">
        <v>91</v>
      </c>
      <c r="B93" s="2" t="str">
        <f>"35932021121913005468469"</f>
        <v>35932021121913005468469</v>
      </c>
      <c r="C93" s="2" t="s">
        <v>5</v>
      </c>
      <c r="D93" s="2" t="str">
        <f>"阮业锦"</f>
        <v>阮业锦</v>
      </c>
      <c r="E93" s="2" t="str">
        <f>"男"</f>
        <v>男</v>
      </c>
    </row>
    <row r="94" spans="1:5" s="1" customFormat="1" ht="34.5" customHeight="1">
      <c r="A94" s="2">
        <v>92</v>
      </c>
      <c r="B94" s="2" t="str">
        <f>"35932021121913443568492"</f>
        <v>35932021121913443568492</v>
      </c>
      <c r="C94" s="2" t="s">
        <v>5</v>
      </c>
      <c r="D94" s="2" t="str">
        <f>"王宝梨"</f>
        <v>王宝梨</v>
      </c>
      <c r="E94" s="2" t="str">
        <f>"女"</f>
        <v>女</v>
      </c>
    </row>
    <row r="95" spans="1:5" s="1" customFormat="1" ht="34.5" customHeight="1">
      <c r="A95" s="2">
        <v>93</v>
      </c>
      <c r="B95" s="2" t="str">
        <f>"35932021121914350268519"</f>
        <v>35932021121914350268519</v>
      </c>
      <c r="C95" s="2" t="s">
        <v>5</v>
      </c>
      <c r="D95" s="2" t="str">
        <f>"史显煜"</f>
        <v>史显煜</v>
      </c>
      <c r="E95" s="2" t="str">
        <f>"男"</f>
        <v>男</v>
      </c>
    </row>
    <row r="96" spans="1:5" s="1" customFormat="1" ht="34.5" customHeight="1">
      <c r="A96" s="2">
        <v>94</v>
      </c>
      <c r="B96" s="2" t="str">
        <f>"35932021121916565568609"</f>
        <v>35932021121916565568609</v>
      </c>
      <c r="C96" s="2" t="s">
        <v>5</v>
      </c>
      <c r="D96" s="2" t="str">
        <f>"陈玉婷"</f>
        <v>陈玉婷</v>
      </c>
      <c r="E96" s="2" t="str">
        <f>"女"</f>
        <v>女</v>
      </c>
    </row>
    <row r="97" spans="1:5" s="1" customFormat="1" ht="34.5" customHeight="1">
      <c r="A97" s="2">
        <v>95</v>
      </c>
      <c r="B97" s="2" t="str">
        <f>"35932021121916590268612"</f>
        <v>35932021121916590268612</v>
      </c>
      <c r="C97" s="2" t="s">
        <v>5</v>
      </c>
      <c r="D97" s="2" t="str">
        <f>"杨燕"</f>
        <v>杨燕</v>
      </c>
      <c r="E97" s="2" t="str">
        <f>"女"</f>
        <v>女</v>
      </c>
    </row>
    <row r="98" spans="1:5" s="1" customFormat="1" ht="34.5" customHeight="1">
      <c r="A98" s="2">
        <v>96</v>
      </c>
      <c r="B98" s="2" t="str">
        <f>"35932021121920533368759"</f>
        <v>35932021121920533368759</v>
      </c>
      <c r="C98" s="2" t="s">
        <v>5</v>
      </c>
      <c r="D98" s="2" t="str">
        <f>"宋路达"</f>
        <v>宋路达</v>
      </c>
      <c r="E98" s="2" t="str">
        <f>"男"</f>
        <v>男</v>
      </c>
    </row>
    <row r="99" spans="1:5" s="1" customFormat="1" ht="34.5" customHeight="1">
      <c r="A99" s="2">
        <v>97</v>
      </c>
      <c r="B99" s="2" t="str">
        <f>"35932021121921043368764"</f>
        <v>35932021121921043368764</v>
      </c>
      <c r="C99" s="2" t="s">
        <v>5</v>
      </c>
      <c r="D99" s="2" t="str">
        <f>"吴蕾"</f>
        <v>吴蕾</v>
      </c>
      <c r="E99" s="2" t="str">
        <f>"女"</f>
        <v>女</v>
      </c>
    </row>
    <row r="100" spans="1:5" s="1" customFormat="1" ht="34.5" customHeight="1">
      <c r="A100" s="2">
        <v>98</v>
      </c>
      <c r="B100" s="2" t="str">
        <f>"35932021121921551668806"</f>
        <v>35932021121921551668806</v>
      </c>
      <c r="C100" s="2" t="s">
        <v>5</v>
      </c>
      <c r="D100" s="2" t="str">
        <f>"郑声浩"</f>
        <v>郑声浩</v>
      </c>
      <c r="E100" s="2" t="str">
        <f aca="true" t="shared" si="1" ref="E100:E105">"男"</f>
        <v>男</v>
      </c>
    </row>
    <row r="101" spans="1:5" s="1" customFormat="1" ht="34.5" customHeight="1">
      <c r="A101" s="2">
        <v>99</v>
      </c>
      <c r="B101" s="2" t="str">
        <f>"35932021122008150568909"</f>
        <v>35932021122008150568909</v>
      </c>
      <c r="C101" s="2" t="s">
        <v>5</v>
      </c>
      <c r="D101" s="2" t="str">
        <f>"侯杰"</f>
        <v>侯杰</v>
      </c>
      <c r="E101" s="2" t="str">
        <f t="shared" si="1"/>
        <v>男</v>
      </c>
    </row>
    <row r="102" spans="1:5" s="1" customFormat="1" ht="34.5" customHeight="1">
      <c r="A102" s="2">
        <v>100</v>
      </c>
      <c r="B102" s="2" t="str">
        <f>"35932021122011315269118"</f>
        <v>35932021122011315269118</v>
      </c>
      <c r="C102" s="2" t="s">
        <v>5</v>
      </c>
      <c r="D102" s="2" t="str">
        <f>"梁庆栋"</f>
        <v>梁庆栋</v>
      </c>
      <c r="E102" s="2" t="str">
        <f t="shared" si="1"/>
        <v>男</v>
      </c>
    </row>
    <row r="103" spans="1:5" s="1" customFormat="1" ht="34.5" customHeight="1">
      <c r="A103" s="2">
        <v>101</v>
      </c>
      <c r="B103" s="2" t="str">
        <f>"35932021120714423764898"</f>
        <v>35932021120714423764898</v>
      </c>
      <c r="C103" s="2" t="s">
        <v>6</v>
      </c>
      <c r="D103" s="2" t="str">
        <f>"符亮星"</f>
        <v>符亮星</v>
      </c>
      <c r="E103" s="2" t="str">
        <f t="shared" si="1"/>
        <v>男</v>
      </c>
    </row>
    <row r="104" spans="1:5" s="1" customFormat="1" ht="34.5" customHeight="1">
      <c r="A104" s="2">
        <v>102</v>
      </c>
      <c r="B104" s="2" t="str">
        <f>"35932021120719425565422"</f>
        <v>35932021120719425565422</v>
      </c>
      <c r="C104" s="2" t="s">
        <v>6</v>
      </c>
      <c r="D104" s="2" t="str">
        <f>"陈文豪"</f>
        <v>陈文豪</v>
      </c>
      <c r="E104" s="2" t="str">
        <f t="shared" si="1"/>
        <v>男</v>
      </c>
    </row>
    <row r="105" spans="1:5" s="1" customFormat="1" ht="34.5" customHeight="1">
      <c r="A105" s="2">
        <v>103</v>
      </c>
      <c r="B105" s="2" t="str">
        <f>"35932021120719441265423"</f>
        <v>35932021120719441265423</v>
      </c>
      <c r="C105" s="2" t="s">
        <v>6</v>
      </c>
      <c r="D105" s="2" t="str">
        <f>"郭卫兵"</f>
        <v>郭卫兵</v>
      </c>
      <c r="E105" s="2" t="str">
        <f t="shared" si="1"/>
        <v>男</v>
      </c>
    </row>
    <row r="106" spans="1:5" s="1" customFormat="1" ht="34.5" customHeight="1">
      <c r="A106" s="2">
        <v>104</v>
      </c>
      <c r="B106" s="2" t="str">
        <f>"35932021120809312265624"</f>
        <v>35932021120809312265624</v>
      </c>
      <c r="C106" s="2" t="s">
        <v>6</v>
      </c>
      <c r="D106" s="2" t="str">
        <f>"许燕芬"</f>
        <v>许燕芬</v>
      </c>
      <c r="E106" s="2" t="str">
        <f>"女"</f>
        <v>女</v>
      </c>
    </row>
    <row r="107" spans="1:5" s="1" customFormat="1" ht="34.5" customHeight="1">
      <c r="A107" s="2">
        <v>105</v>
      </c>
      <c r="B107" s="2" t="str">
        <f>"35932021120809500365647"</f>
        <v>35932021120809500365647</v>
      </c>
      <c r="C107" s="2" t="s">
        <v>6</v>
      </c>
      <c r="D107" s="2" t="str">
        <f>"符文睦"</f>
        <v>符文睦</v>
      </c>
      <c r="E107" s="2" t="str">
        <f>"男"</f>
        <v>男</v>
      </c>
    </row>
    <row r="108" spans="1:5" s="1" customFormat="1" ht="34.5" customHeight="1">
      <c r="A108" s="2">
        <v>106</v>
      </c>
      <c r="B108" s="2" t="str">
        <f>"35932021120810240065672"</f>
        <v>35932021120810240065672</v>
      </c>
      <c r="C108" s="2" t="s">
        <v>6</v>
      </c>
      <c r="D108" s="2" t="str">
        <f>"陆礼志"</f>
        <v>陆礼志</v>
      </c>
      <c r="E108" s="2" t="str">
        <f>"男"</f>
        <v>男</v>
      </c>
    </row>
    <row r="109" spans="1:5" s="1" customFormat="1" ht="34.5" customHeight="1">
      <c r="A109" s="2">
        <v>107</v>
      </c>
      <c r="B109" s="2" t="str">
        <f>"35932021120810382565687"</f>
        <v>35932021120810382565687</v>
      </c>
      <c r="C109" s="2" t="s">
        <v>6</v>
      </c>
      <c r="D109" s="2" t="str">
        <f>"黄洪榆"</f>
        <v>黄洪榆</v>
      </c>
      <c r="E109" s="2" t="str">
        <f>"女"</f>
        <v>女</v>
      </c>
    </row>
    <row r="110" spans="1:5" s="1" customFormat="1" ht="34.5" customHeight="1">
      <c r="A110" s="2">
        <v>108</v>
      </c>
      <c r="B110" s="2" t="str">
        <f>"35932021120900192366103"</f>
        <v>35932021120900192366103</v>
      </c>
      <c r="C110" s="2" t="s">
        <v>6</v>
      </c>
      <c r="D110" s="2" t="str">
        <f>"谭秋燕"</f>
        <v>谭秋燕</v>
      </c>
      <c r="E110" s="2" t="str">
        <f>"女"</f>
        <v>女</v>
      </c>
    </row>
    <row r="111" spans="1:5" s="1" customFormat="1" ht="34.5" customHeight="1">
      <c r="A111" s="2">
        <v>109</v>
      </c>
      <c r="B111" s="2" t="str">
        <f>"35932021120908410266117"</f>
        <v>35932021120908410266117</v>
      </c>
      <c r="C111" s="2" t="s">
        <v>6</v>
      </c>
      <c r="D111" s="2" t="str">
        <f>"刘鑫"</f>
        <v>刘鑫</v>
      </c>
      <c r="E111" s="2" t="str">
        <f aca="true" t="shared" si="2" ref="E111:E118">"男"</f>
        <v>男</v>
      </c>
    </row>
    <row r="112" spans="1:5" s="1" customFormat="1" ht="34.5" customHeight="1">
      <c r="A112" s="2">
        <v>110</v>
      </c>
      <c r="B112" s="2" t="str">
        <f>"35932021120920560366443"</f>
        <v>35932021120920560366443</v>
      </c>
      <c r="C112" s="2" t="s">
        <v>6</v>
      </c>
      <c r="D112" s="2" t="str">
        <f>"赵杨"</f>
        <v>赵杨</v>
      </c>
      <c r="E112" s="2" t="str">
        <f t="shared" si="2"/>
        <v>男</v>
      </c>
    </row>
    <row r="113" spans="1:5" s="1" customFormat="1" ht="34.5" customHeight="1">
      <c r="A113" s="2">
        <v>111</v>
      </c>
      <c r="B113" s="2" t="str">
        <f>"35932021120921260866455"</f>
        <v>35932021120921260866455</v>
      </c>
      <c r="C113" s="2" t="s">
        <v>6</v>
      </c>
      <c r="D113" s="2" t="str">
        <f>"羊如虎"</f>
        <v>羊如虎</v>
      </c>
      <c r="E113" s="2" t="str">
        <f t="shared" si="2"/>
        <v>男</v>
      </c>
    </row>
    <row r="114" spans="1:5" s="1" customFormat="1" ht="34.5" customHeight="1">
      <c r="A114" s="2">
        <v>112</v>
      </c>
      <c r="B114" s="2" t="str">
        <f>"35932021121119100866835"</f>
        <v>35932021121119100866835</v>
      </c>
      <c r="C114" s="2" t="s">
        <v>6</v>
      </c>
      <c r="D114" s="2" t="str">
        <f>"陈冠成"</f>
        <v>陈冠成</v>
      </c>
      <c r="E114" s="2" t="str">
        <f t="shared" si="2"/>
        <v>男</v>
      </c>
    </row>
    <row r="115" spans="1:5" s="1" customFormat="1" ht="34.5" customHeight="1">
      <c r="A115" s="2">
        <v>113</v>
      </c>
      <c r="B115" s="2" t="str">
        <f>"35932021121121531466865"</f>
        <v>35932021121121531466865</v>
      </c>
      <c r="C115" s="2" t="s">
        <v>6</v>
      </c>
      <c r="D115" s="2" t="str">
        <f>"戴生达"</f>
        <v>戴生达</v>
      </c>
      <c r="E115" s="2" t="str">
        <f t="shared" si="2"/>
        <v>男</v>
      </c>
    </row>
    <row r="116" spans="1:5" s="1" customFormat="1" ht="34.5" customHeight="1">
      <c r="A116" s="2">
        <v>114</v>
      </c>
      <c r="B116" s="2" t="str">
        <f>"35932021121312460467158"</f>
        <v>35932021121312460467158</v>
      </c>
      <c r="C116" s="2" t="s">
        <v>6</v>
      </c>
      <c r="D116" s="2" t="str">
        <f>"陈英和"</f>
        <v>陈英和</v>
      </c>
      <c r="E116" s="2" t="str">
        <f t="shared" si="2"/>
        <v>男</v>
      </c>
    </row>
    <row r="117" spans="1:5" s="1" customFormat="1" ht="34.5" customHeight="1">
      <c r="A117" s="2">
        <v>115</v>
      </c>
      <c r="B117" s="2" t="str">
        <f>"35932021121314375967186"</f>
        <v>35932021121314375967186</v>
      </c>
      <c r="C117" s="2" t="s">
        <v>6</v>
      </c>
      <c r="D117" s="2" t="str">
        <f>"何昶源"</f>
        <v>何昶源</v>
      </c>
      <c r="E117" s="2" t="str">
        <f t="shared" si="2"/>
        <v>男</v>
      </c>
    </row>
    <row r="118" spans="1:5" s="1" customFormat="1" ht="34.5" customHeight="1">
      <c r="A118" s="2">
        <v>116</v>
      </c>
      <c r="B118" s="2" t="str">
        <f>"35932021121509522867587"</f>
        <v>35932021121509522867587</v>
      </c>
      <c r="C118" s="2" t="s">
        <v>6</v>
      </c>
      <c r="D118" s="2" t="str">
        <f>"王国威"</f>
        <v>王国威</v>
      </c>
      <c r="E118" s="2" t="str">
        <f t="shared" si="2"/>
        <v>男</v>
      </c>
    </row>
    <row r="119" spans="1:5" s="1" customFormat="1" ht="34.5" customHeight="1">
      <c r="A119" s="2">
        <v>117</v>
      </c>
      <c r="B119" s="2" t="str">
        <f>"35932021121509583767590"</f>
        <v>35932021121509583767590</v>
      </c>
      <c r="C119" s="2" t="s">
        <v>6</v>
      </c>
      <c r="D119" s="2" t="str">
        <f>"冯小丹"</f>
        <v>冯小丹</v>
      </c>
      <c r="E119" s="2" t="str">
        <f>"女"</f>
        <v>女</v>
      </c>
    </row>
    <row r="120" spans="1:5" s="1" customFormat="1" ht="34.5" customHeight="1">
      <c r="A120" s="2">
        <v>118</v>
      </c>
      <c r="B120" s="2" t="str">
        <f>"35932021121609510167778"</f>
        <v>35932021121609510167778</v>
      </c>
      <c r="C120" s="2" t="s">
        <v>6</v>
      </c>
      <c r="D120" s="2" t="str">
        <f>"黄兹源"</f>
        <v>黄兹源</v>
      </c>
      <c r="E120" s="2" t="str">
        <f>"男"</f>
        <v>男</v>
      </c>
    </row>
    <row r="121" spans="1:5" s="1" customFormat="1" ht="34.5" customHeight="1">
      <c r="A121" s="2">
        <v>119</v>
      </c>
      <c r="B121" s="2" t="str">
        <f>"35932021121721541668033"</f>
        <v>35932021121721541668033</v>
      </c>
      <c r="C121" s="2" t="s">
        <v>6</v>
      </c>
      <c r="D121" s="2" t="str">
        <f>"冯学杰"</f>
        <v>冯学杰</v>
      </c>
      <c r="E121" s="2" t="str">
        <f>"男"</f>
        <v>男</v>
      </c>
    </row>
    <row r="122" spans="1:5" s="1" customFormat="1" ht="34.5" customHeight="1">
      <c r="A122" s="2">
        <v>120</v>
      </c>
      <c r="B122" s="2" t="str">
        <f>"35932021121914374768522"</f>
        <v>35932021121914374768522</v>
      </c>
      <c r="C122" s="2" t="s">
        <v>6</v>
      </c>
      <c r="D122" s="2" t="str">
        <f>"王嘉怡"</f>
        <v>王嘉怡</v>
      </c>
      <c r="E122" s="2" t="str">
        <f>"女"</f>
        <v>女</v>
      </c>
    </row>
    <row r="123" spans="1:5" s="1" customFormat="1" ht="34.5" customHeight="1">
      <c r="A123" s="2">
        <v>121</v>
      </c>
      <c r="B123" s="2" t="str">
        <f>"35932021121918141768653"</f>
        <v>35932021121918141768653</v>
      </c>
      <c r="C123" s="2" t="s">
        <v>6</v>
      </c>
      <c r="D123" s="2" t="str">
        <f>"万庆翠"</f>
        <v>万庆翠</v>
      </c>
      <c r="E123" s="2" t="str">
        <f>"女"</f>
        <v>女</v>
      </c>
    </row>
    <row r="124" spans="1:5" s="1" customFormat="1" ht="34.5" customHeight="1">
      <c r="A124" s="2">
        <v>122</v>
      </c>
      <c r="B124" s="2" t="str">
        <f>"35932021120713283964761"</f>
        <v>35932021120713283964761</v>
      </c>
      <c r="C124" s="2" t="s">
        <v>7</v>
      </c>
      <c r="D124" s="2" t="str">
        <f>"黄德江"</f>
        <v>黄德江</v>
      </c>
      <c r="E124" s="2" t="str">
        <f>"男"</f>
        <v>男</v>
      </c>
    </row>
    <row r="125" spans="1:5" s="1" customFormat="1" ht="34.5" customHeight="1">
      <c r="A125" s="2">
        <v>123</v>
      </c>
      <c r="B125" s="2" t="str">
        <f>"35932021120713511264790"</f>
        <v>35932021120713511264790</v>
      </c>
      <c r="C125" s="2" t="s">
        <v>7</v>
      </c>
      <c r="D125" s="2" t="str">
        <f>"孙鸿萍"</f>
        <v>孙鸿萍</v>
      </c>
      <c r="E125" s="2" t="str">
        <f>"女"</f>
        <v>女</v>
      </c>
    </row>
    <row r="126" spans="1:5" s="1" customFormat="1" ht="34.5" customHeight="1">
      <c r="A126" s="2">
        <v>124</v>
      </c>
      <c r="B126" s="2" t="str">
        <f>"35932021120715272265032"</f>
        <v>35932021120715272265032</v>
      </c>
      <c r="C126" s="2" t="s">
        <v>7</v>
      </c>
      <c r="D126" s="2" t="str">
        <f>"王佳佳"</f>
        <v>王佳佳</v>
      </c>
      <c r="E126" s="2" t="str">
        <f>"女"</f>
        <v>女</v>
      </c>
    </row>
    <row r="127" spans="1:5" s="1" customFormat="1" ht="34.5" customHeight="1">
      <c r="A127" s="2">
        <v>125</v>
      </c>
      <c r="B127" s="2" t="str">
        <f>"35932021120715451265083"</f>
        <v>35932021120715451265083</v>
      </c>
      <c r="C127" s="2" t="s">
        <v>7</v>
      </c>
      <c r="D127" s="2" t="str">
        <f>"吴玮"</f>
        <v>吴玮</v>
      </c>
      <c r="E127" s="2" t="str">
        <f>"男"</f>
        <v>男</v>
      </c>
    </row>
    <row r="128" spans="1:5" s="1" customFormat="1" ht="34.5" customHeight="1">
      <c r="A128" s="2">
        <v>126</v>
      </c>
      <c r="B128" s="2" t="str">
        <f>"35932021120716010565128"</f>
        <v>35932021120716010565128</v>
      </c>
      <c r="C128" s="2" t="s">
        <v>7</v>
      </c>
      <c r="D128" s="2" t="str">
        <f>"吴启文"</f>
        <v>吴启文</v>
      </c>
      <c r="E128" s="2" t="str">
        <f>"男"</f>
        <v>男</v>
      </c>
    </row>
    <row r="129" spans="1:5" s="1" customFormat="1" ht="34.5" customHeight="1">
      <c r="A129" s="2">
        <v>127</v>
      </c>
      <c r="B129" s="2" t="str">
        <f>"35932021120716370965224"</f>
        <v>35932021120716370965224</v>
      </c>
      <c r="C129" s="2" t="s">
        <v>7</v>
      </c>
      <c r="D129" s="2" t="str">
        <f>"吴昊"</f>
        <v>吴昊</v>
      </c>
      <c r="E129" s="2" t="str">
        <f>"男"</f>
        <v>男</v>
      </c>
    </row>
    <row r="130" spans="1:5" s="1" customFormat="1" ht="34.5" customHeight="1">
      <c r="A130" s="2">
        <v>128</v>
      </c>
      <c r="B130" s="2" t="str">
        <f>"35932021120813014765775"</f>
        <v>35932021120813014765775</v>
      </c>
      <c r="C130" s="2" t="s">
        <v>7</v>
      </c>
      <c r="D130" s="2" t="str">
        <f>"林超超"</f>
        <v>林超超</v>
      </c>
      <c r="E130" s="2" t="str">
        <f>"男"</f>
        <v>男</v>
      </c>
    </row>
    <row r="131" spans="1:5" s="1" customFormat="1" ht="34.5" customHeight="1">
      <c r="A131" s="2">
        <v>129</v>
      </c>
      <c r="B131" s="2" t="str">
        <f>"35932021120816071765886"</f>
        <v>35932021120816071765886</v>
      </c>
      <c r="C131" s="2" t="s">
        <v>7</v>
      </c>
      <c r="D131" s="2" t="str">
        <f>"吴艳娴"</f>
        <v>吴艳娴</v>
      </c>
      <c r="E131" s="2" t="str">
        <f>"女"</f>
        <v>女</v>
      </c>
    </row>
    <row r="132" spans="1:5" s="1" customFormat="1" ht="34.5" customHeight="1">
      <c r="A132" s="2">
        <v>130</v>
      </c>
      <c r="B132" s="2" t="str">
        <f>"35932021120822585566080"</f>
        <v>35932021120822585566080</v>
      </c>
      <c r="C132" s="2" t="s">
        <v>7</v>
      </c>
      <c r="D132" s="2" t="str">
        <f>"吴丽芳"</f>
        <v>吴丽芳</v>
      </c>
      <c r="E132" s="2" t="str">
        <f>"女"</f>
        <v>女</v>
      </c>
    </row>
    <row r="133" spans="1:5" s="1" customFormat="1" ht="34.5" customHeight="1">
      <c r="A133" s="2">
        <v>131</v>
      </c>
      <c r="B133" s="2" t="str">
        <f>"35932021120823220766092"</f>
        <v>35932021120823220766092</v>
      </c>
      <c r="C133" s="2" t="s">
        <v>7</v>
      </c>
      <c r="D133" s="2" t="str">
        <f>"林瑞富"</f>
        <v>林瑞富</v>
      </c>
      <c r="E133" s="2" t="str">
        <f>"男"</f>
        <v>男</v>
      </c>
    </row>
    <row r="134" spans="1:5" s="1" customFormat="1" ht="34.5" customHeight="1">
      <c r="A134" s="2">
        <v>132</v>
      </c>
      <c r="B134" s="2" t="str">
        <f>"35932021120918515566406"</f>
        <v>35932021120918515566406</v>
      </c>
      <c r="C134" s="2" t="s">
        <v>7</v>
      </c>
      <c r="D134" s="2" t="str">
        <f>"唐万松"</f>
        <v>唐万松</v>
      </c>
      <c r="E134" s="2" t="str">
        <f>"男"</f>
        <v>男</v>
      </c>
    </row>
    <row r="135" spans="1:5" s="1" customFormat="1" ht="34.5" customHeight="1">
      <c r="A135" s="2">
        <v>133</v>
      </c>
      <c r="B135" s="2" t="str">
        <f>"35932021120919432866420"</f>
        <v>35932021120919432866420</v>
      </c>
      <c r="C135" s="2" t="s">
        <v>7</v>
      </c>
      <c r="D135" s="2" t="str">
        <f>"王康斌"</f>
        <v>王康斌</v>
      </c>
      <c r="E135" s="2" t="str">
        <f>"男"</f>
        <v>男</v>
      </c>
    </row>
    <row r="136" spans="1:5" s="1" customFormat="1" ht="34.5" customHeight="1">
      <c r="A136" s="2">
        <v>134</v>
      </c>
      <c r="B136" s="2" t="str">
        <f>"35932021121010171166521"</f>
        <v>35932021121010171166521</v>
      </c>
      <c r="C136" s="2" t="s">
        <v>7</v>
      </c>
      <c r="D136" s="2" t="str">
        <f>"李小龙"</f>
        <v>李小龙</v>
      </c>
      <c r="E136" s="2" t="str">
        <f>"男"</f>
        <v>男</v>
      </c>
    </row>
    <row r="137" spans="1:5" s="1" customFormat="1" ht="34.5" customHeight="1">
      <c r="A137" s="2">
        <v>135</v>
      </c>
      <c r="B137" s="2" t="str">
        <f>"35932021121010582766550"</f>
        <v>35932021121010582766550</v>
      </c>
      <c r="C137" s="2" t="s">
        <v>7</v>
      </c>
      <c r="D137" s="2" t="str">
        <f>"邱统为"</f>
        <v>邱统为</v>
      </c>
      <c r="E137" s="2" t="str">
        <f>"男"</f>
        <v>男</v>
      </c>
    </row>
    <row r="138" spans="1:5" s="1" customFormat="1" ht="34.5" customHeight="1">
      <c r="A138" s="2">
        <v>136</v>
      </c>
      <c r="B138" s="2" t="str">
        <f>"35932021121212221766925"</f>
        <v>35932021121212221766925</v>
      </c>
      <c r="C138" s="2" t="s">
        <v>7</v>
      </c>
      <c r="D138" s="2" t="str">
        <f>"史珍珍"</f>
        <v>史珍珍</v>
      </c>
      <c r="E138" s="2" t="str">
        <f>"女"</f>
        <v>女</v>
      </c>
    </row>
    <row r="139" spans="1:5" s="1" customFormat="1" ht="34.5" customHeight="1">
      <c r="A139" s="2">
        <v>137</v>
      </c>
      <c r="B139" s="2" t="str">
        <f>"35932021121309284767088"</f>
        <v>35932021121309284767088</v>
      </c>
      <c r="C139" s="2" t="s">
        <v>7</v>
      </c>
      <c r="D139" s="2" t="str">
        <f>"王万丹"</f>
        <v>王万丹</v>
      </c>
      <c r="E139" s="2" t="str">
        <f>"女"</f>
        <v>女</v>
      </c>
    </row>
    <row r="140" spans="1:5" s="1" customFormat="1" ht="34.5" customHeight="1">
      <c r="A140" s="2">
        <v>138</v>
      </c>
      <c r="B140" s="2" t="str">
        <f>"35932021121422293367542"</f>
        <v>35932021121422293367542</v>
      </c>
      <c r="C140" s="2" t="s">
        <v>7</v>
      </c>
      <c r="D140" s="2" t="str">
        <f>"杨小龙"</f>
        <v>杨小龙</v>
      </c>
      <c r="E140" s="2" t="str">
        <f aca="true" t="shared" si="3" ref="E140:E146">"男"</f>
        <v>男</v>
      </c>
    </row>
    <row r="141" spans="1:5" s="1" customFormat="1" ht="34.5" customHeight="1">
      <c r="A141" s="2">
        <v>139</v>
      </c>
      <c r="B141" s="2" t="str">
        <f>"35932021121423505167559"</f>
        <v>35932021121423505167559</v>
      </c>
      <c r="C141" s="2" t="s">
        <v>7</v>
      </c>
      <c r="D141" s="2" t="str">
        <f>"陈阳"</f>
        <v>陈阳</v>
      </c>
      <c r="E141" s="2" t="str">
        <f t="shared" si="3"/>
        <v>男</v>
      </c>
    </row>
    <row r="142" spans="1:5" s="1" customFormat="1" ht="34.5" customHeight="1">
      <c r="A142" s="2">
        <v>140</v>
      </c>
      <c r="B142" s="2" t="str">
        <f>"35932021121515203167637"</f>
        <v>35932021121515203167637</v>
      </c>
      <c r="C142" s="2" t="s">
        <v>7</v>
      </c>
      <c r="D142" s="2" t="str">
        <f>"洪海"</f>
        <v>洪海</v>
      </c>
      <c r="E142" s="2" t="str">
        <f t="shared" si="3"/>
        <v>男</v>
      </c>
    </row>
    <row r="143" spans="1:5" s="1" customFormat="1" ht="34.5" customHeight="1">
      <c r="A143" s="2">
        <v>141</v>
      </c>
      <c r="B143" s="2" t="str">
        <f>"35932021121619521667880"</f>
        <v>35932021121619521667880</v>
      </c>
      <c r="C143" s="2" t="s">
        <v>7</v>
      </c>
      <c r="D143" s="2" t="str">
        <f>"郭泽延"</f>
        <v>郭泽延</v>
      </c>
      <c r="E143" s="2" t="str">
        <f t="shared" si="3"/>
        <v>男</v>
      </c>
    </row>
    <row r="144" spans="1:5" s="1" customFormat="1" ht="34.5" customHeight="1">
      <c r="A144" s="2">
        <v>142</v>
      </c>
      <c r="B144" s="2" t="str">
        <f>"35932021121714541867970"</f>
        <v>35932021121714541867970</v>
      </c>
      <c r="C144" s="2" t="s">
        <v>7</v>
      </c>
      <c r="D144" s="2" t="str">
        <f>"王星渊"</f>
        <v>王星渊</v>
      </c>
      <c r="E144" s="2" t="str">
        <f t="shared" si="3"/>
        <v>男</v>
      </c>
    </row>
    <row r="145" spans="1:5" s="1" customFormat="1" ht="34.5" customHeight="1">
      <c r="A145" s="2">
        <v>143</v>
      </c>
      <c r="B145" s="2" t="str">
        <f>"35932021121715573767988"</f>
        <v>35932021121715573767988</v>
      </c>
      <c r="C145" s="2" t="s">
        <v>7</v>
      </c>
      <c r="D145" s="2" t="str">
        <f>"黄铎"</f>
        <v>黄铎</v>
      </c>
      <c r="E145" s="2" t="str">
        <f t="shared" si="3"/>
        <v>男</v>
      </c>
    </row>
    <row r="146" spans="1:5" s="1" customFormat="1" ht="34.5" customHeight="1">
      <c r="A146" s="2">
        <v>144</v>
      </c>
      <c r="B146" s="2" t="str">
        <f>"35932021121815130168182"</f>
        <v>35932021121815130168182</v>
      </c>
      <c r="C146" s="2" t="s">
        <v>7</v>
      </c>
      <c r="D146" s="2" t="str">
        <f>"顾兆东"</f>
        <v>顾兆东</v>
      </c>
      <c r="E146" s="2" t="str">
        <f t="shared" si="3"/>
        <v>男</v>
      </c>
    </row>
    <row r="147" spans="1:5" s="1" customFormat="1" ht="34.5" customHeight="1">
      <c r="A147" s="2">
        <v>145</v>
      </c>
      <c r="B147" s="2" t="str">
        <f>"35932021121914372968521"</f>
        <v>35932021121914372968521</v>
      </c>
      <c r="C147" s="2" t="s">
        <v>7</v>
      </c>
      <c r="D147" s="2" t="str">
        <f>"詹美珊"</f>
        <v>詹美珊</v>
      </c>
      <c r="E147" s="2" t="str">
        <f>"女"</f>
        <v>女</v>
      </c>
    </row>
    <row r="148" spans="1:5" s="1" customFormat="1" ht="34.5" customHeight="1">
      <c r="A148" s="2">
        <v>146</v>
      </c>
      <c r="B148" s="2" t="str">
        <f>"35932021121916474668601"</f>
        <v>35932021121916474668601</v>
      </c>
      <c r="C148" s="2" t="s">
        <v>7</v>
      </c>
      <c r="D148" s="2" t="str">
        <f>"许启琼"</f>
        <v>许启琼</v>
      </c>
      <c r="E148" s="2" t="str">
        <f>"男"</f>
        <v>男</v>
      </c>
    </row>
    <row r="149" spans="1:5" s="1" customFormat="1" ht="34.5" customHeight="1">
      <c r="A149" s="2">
        <v>147</v>
      </c>
      <c r="B149" s="2" t="str">
        <f>"35932021120711020864471"</f>
        <v>35932021120711020864471</v>
      </c>
      <c r="C149" s="2" t="s">
        <v>8</v>
      </c>
      <c r="D149" s="2" t="str">
        <f>"符式鸿"</f>
        <v>符式鸿</v>
      </c>
      <c r="E149" s="2" t="str">
        <f>"男"</f>
        <v>男</v>
      </c>
    </row>
    <row r="150" spans="1:5" s="1" customFormat="1" ht="34.5" customHeight="1">
      <c r="A150" s="2">
        <v>148</v>
      </c>
      <c r="B150" s="2" t="str">
        <f>"35932021120711052564479"</f>
        <v>35932021120711052564479</v>
      </c>
      <c r="C150" s="2" t="s">
        <v>8</v>
      </c>
      <c r="D150" s="2" t="str">
        <f>"符士坚"</f>
        <v>符士坚</v>
      </c>
      <c r="E150" s="2" t="str">
        <f>"男"</f>
        <v>男</v>
      </c>
    </row>
    <row r="151" spans="1:5" s="1" customFormat="1" ht="34.5" customHeight="1">
      <c r="A151" s="2">
        <v>149</v>
      </c>
      <c r="B151" s="2" t="str">
        <f>"35932021120711073864482"</f>
        <v>35932021120711073864482</v>
      </c>
      <c r="C151" s="2" t="s">
        <v>8</v>
      </c>
      <c r="D151" s="2" t="str">
        <f>"沈小玉"</f>
        <v>沈小玉</v>
      </c>
      <c r="E151" s="2" t="str">
        <f>"女"</f>
        <v>女</v>
      </c>
    </row>
    <row r="152" spans="1:5" s="1" customFormat="1" ht="34.5" customHeight="1">
      <c r="A152" s="2">
        <v>150</v>
      </c>
      <c r="B152" s="2" t="str">
        <f>"35932021120711140864498"</f>
        <v>35932021120711140864498</v>
      </c>
      <c r="C152" s="2" t="s">
        <v>8</v>
      </c>
      <c r="D152" s="2" t="str">
        <f>"邱春权"</f>
        <v>邱春权</v>
      </c>
      <c r="E152" s="2" t="str">
        <f>"男"</f>
        <v>男</v>
      </c>
    </row>
    <row r="153" spans="1:5" s="1" customFormat="1" ht="34.5" customHeight="1">
      <c r="A153" s="2">
        <v>151</v>
      </c>
      <c r="B153" s="2" t="str">
        <f>"35932021120711215864520"</f>
        <v>35932021120711215864520</v>
      </c>
      <c r="C153" s="2" t="s">
        <v>8</v>
      </c>
      <c r="D153" s="2" t="str">
        <f>"曾小松"</f>
        <v>曾小松</v>
      </c>
      <c r="E153" s="2" t="str">
        <f>"男"</f>
        <v>男</v>
      </c>
    </row>
    <row r="154" spans="1:5" s="1" customFormat="1" ht="34.5" customHeight="1">
      <c r="A154" s="2">
        <v>152</v>
      </c>
      <c r="B154" s="2" t="str">
        <f>"35932021120711315164546"</f>
        <v>35932021120711315164546</v>
      </c>
      <c r="C154" s="2" t="s">
        <v>8</v>
      </c>
      <c r="D154" s="2" t="str">
        <f>"刘福聚"</f>
        <v>刘福聚</v>
      </c>
      <c r="E154" s="2" t="str">
        <f>"男"</f>
        <v>男</v>
      </c>
    </row>
    <row r="155" spans="1:5" s="1" customFormat="1" ht="34.5" customHeight="1">
      <c r="A155" s="2">
        <v>153</v>
      </c>
      <c r="B155" s="2" t="str">
        <f>"35932021120711355964559"</f>
        <v>35932021120711355964559</v>
      </c>
      <c r="C155" s="2" t="s">
        <v>8</v>
      </c>
      <c r="D155" s="2" t="str">
        <f>"谭家铭"</f>
        <v>谭家铭</v>
      </c>
      <c r="E155" s="2" t="str">
        <f>"男"</f>
        <v>男</v>
      </c>
    </row>
    <row r="156" spans="1:5" s="1" customFormat="1" ht="34.5" customHeight="1">
      <c r="A156" s="2">
        <v>154</v>
      </c>
      <c r="B156" s="2" t="str">
        <f>"35932021120711462764591"</f>
        <v>35932021120711462764591</v>
      </c>
      <c r="C156" s="2" t="s">
        <v>8</v>
      </c>
      <c r="D156" s="2" t="str">
        <f>"黄光明"</f>
        <v>黄光明</v>
      </c>
      <c r="E156" s="2" t="str">
        <f>"男"</f>
        <v>男</v>
      </c>
    </row>
    <row r="157" spans="1:5" s="1" customFormat="1" ht="34.5" customHeight="1">
      <c r="A157" s="2">
        <v>155</v>
      </c>
      <c r="B157" s="2" t="str">
        <f>"35932021120711505664606"</f>
        <v>35932021120711505664606</v>
      </c>
      <c r="C157" s="2" t="s">
        <v>8</v>
      </c>
      <c r="D157" s="2" t="str">
        <f>"肖唯鹃"</f>
        <v>肖唯鹃</v>
      </c>
      <c r="E157" s="2" t="str">
        <f>"女"</f>
        <v>女</v>
      </c>
    </row>
    <row r="158" spans="1:5" s="1" customFormat="1" ht="34.5" customHeight="1">
      <c r="A158" s="2">
        <v>156</v>
      </c>
      <c r="B158" s="2" t="str">
        <f>"35932021120712181964657"</f>
        <v>35932021120712181964657</v>
      </c>
      <c r="C158" s="2" t="s">
        <v>8</v>
      </c>
      <c r="D158" s="2" t="str">
        <f>"王裕均"</f>
        <v>王裕均</v>
      </c>
      <c r="E158" s="2" t="str">
        <f>"男"</f>
        <v>男</v>
      </c>
    </row>
    <row r="159" spans="1:5" s="1" customFormat="1" ht="34.5" customHeight="1">
      <c r="A159" s="2">
        <v>157</v>
      </c>
      <c r="B159" s="2" t="str">
        <f>"35932021120712210464663"</f>
        <v>35932021120712210464663</v>
      </c>
      <c r="C159" s="2" t="s">
        <v>8</v>
      </c>
      <c r="D159" s="2" t="str">
        <f>"李榕"</f>
        <v>李榕</v>
      </c>
      <c r="E159" s="2" t="str">
        <f>"女"</f>
        <v>女</v>
      </c>
    </row>
    <row r="160" spans="1:5" s="1" customFormat="1" ht="34.5" customHeight="1">
      <c r="A160" s="2">
        <v>158</v>
      </c>
      <c r="B160" s="2" t="str">
        <f>"35932021120712504364709"</f>
        <v>35932021120712504364709</v>
      </c>
      <c r="C160" s="2" t="s">
        <v>8</v>
      </c>
      <c r="D160" s="2" t="str">
        <f>"陈家洲"</f>
        <v>陈家洲</v>
      </c>
      <c r="E160" s="2" t="str">
        <f>"男"</f>
        <v>男</v>
      </c>
    </row>
    <row r="161" spans="1:5" s="1" customFormat="1" ht="34.5" customHeight="1">
      <c r="A161" s="2">
        <v>159</v>
      </c>
      <c r="B161" s="2" t="str">
        <f>"35932021120713263064760"</f>
        <v>35932021120713263064760</v>
      </c>
      <c r="C161" s="2" t="s">
        <v>8</v>
      </c>
      <c r="D161" s="2" t="str">
        <f>"陈泰珍"</f>
        <v>陈泰珍</v>
      </c>
      <c r="E161" s="2" t="str">
        <f>"女"</f>
        <v>女</v>
      </c>
    </row>
    <row r="162" spans="1:5" s="1" customFormat="1" ht="34.5" customHeight="1">
      <c r="A162" s="2">
        <v>160</v>
      </c>
      <c r="B162" s="2" t="str">
        <f>"35932021120713390964769"</f>
        <v>35932021120713390964769</v>
      </c>
      <c r="C162" s="2" t="s">
        <v>8</v>
      </c>
      <c r="D162" s="2" t="str">
        <f>"盛运会"</f>
        <v>盛运会</v>
      </c>
      <c r="E162" s="2" t="str">
        <f>"男"</f>
        <v>男</v>
      </c>
    </row>
    <row r="163" spans="1:5" s="1" customFormat="1" ht="34.5" customHeight="1">
      <c r="A163" s="2">
        <v>161</v>
      </c>
      <c r="B163" s="2" t="str">
        <f>"35932021120713465064780"</f>
        <v>35932021120713465064780</v>
      </c>
      <c r="C163" s="2" t="s">
        <v>8</v>
      </c>
      <c r="D163" s="2" t="str">
        <f>"蔡丽婷"</f>
        <v>蔡丽婷</v>
      </c>
      <c r="E163" s="2" t="str">
        <f>"女"</f>
        <v>女</v>
      </c>
    </row>
    <row r="164" spans="1:5" s="1" customFormat="1" ht="34.5" customHeight="1">
      <c r="A164" s="2">
        <v>162</v>
      </c>
      <c r="B164" s="2" t="str">
        <f>"35932021120714080364824"</f>
        <v>35932021120714080364824</v>
      </c>
      <c r="C164" s="2" t="s">
        <v>8</v>
      </c>
      <c r="D164" s="2" t="str">
        <f>"李钖"</f>
        <v>李钖</v>
      </c>
      <c r="E164" s="2" t="str">
        <f>"男"</f>
        <v>男</v>
      </c>
    </row>
    <row r="165" spans="1:5" s="1" customFormat="1" ht="34.5" customHeight="1">
      <c r="A165" s="2">
        <v>163</v>
      </c>
      <c r="B165" s="2" t="str">
        <f>"35932021120714082964825"</f>
        <v>35932021120714082964825</v>
      </c>
      <c r="C165" s="2" t="s">
        <v>8</v>
      </c>
      <c r="D165" s="2" t="str">
        <f>"陈小竹"</f>
        <v>陈小竹</v>
      </c>
      <c r="E165" s="2" t="str">
        <f>"女"</f>
        <v>女</v>
      </c>
    </row>
    <row r="166" spans="1:5" s="1" customFormat="1" ht="34.5" customHeight="1">
      <c r="A166" s="2">
        <v>164</v>
      </c>
      <c r="B166" s="2" t="str">
        <f>"35932021120714320964879"</f>
        <v>35932021120714320964879</v>
      </c>
      <c r="C166" s="2" t="s">
        <v>8</v>
      </c>
      <c r="D166" s="2" t="str">
        <f>"罗毅"</f>
        <v>罗毅</v>
      </c>
      <c r="E166" s="2" t="str">
        <f>"男"</f>
        <v>男</v>
      </c>
    </row>
    <row r="167" spans="1:5" s="1" customFormat="1" ht="34.5" customHeight="1">
      <c r="A167" s="2">
        <v>165</v>
      </c>
      <c r="B167" s="2" t="str">
        <f>"35932021120714371764890"</f>
        <v>35932021120714371764890</v>
      </c>
      <c r="C167" s="2" t="s">
        <v>8</v>
      </c>
      <c r="D167" s="2" t="str">
        <f>"莫煜煌"</f>
        <v>莫煜煌</v>
      </c>
      <c r="E167" s="2" t="str">
        <f>"男"</f>
        <v>男</v>
      </c>
    </row>
    <row r="168" spans="1:5" s="1" customFormat="1" ht="34.5" customHeight="1">
      <c r="A168" s="2">
        <v>166</v>
      </c>
      <c r="B168" s="2" t="str">
        <f>"35932021120714463564911"</f>
        <v>35932021120714463564911</v>
      </c>
      <c r="C168" s="2" t="s">
        <v>8</v>
      </c>
      <c r="D168" s="2" t="str">
        <f>"刘娜"</f>
        <v>刘娜</v>
      </c>
      <c r="E168" s="2" t="str">
        <f>"女"</f>
        <v>女</v>
      </c>
    </row>
    <row r="169" spans="1:5" s="1" customFormat="1" ht="34.5" customHeight="1">
      <c r="A169" s="2">
        <v>167</v>
      </c>
      <c r="B169" s="2" t="str">
        <f>"35932021120714501864918"</f>
        <v>35932021120714501864918</v>
      </c>
      <c r="C169" s="2" t="s">
        <v>8</v>
      </c>
      <c r="D169" s="2" t="str">
        <f>"王燕勇"</f>
        <v>王燕勇</v>
      </c>
      <c r="E169" s="2" t="str">
        <f>"男"</f>
        <v>男</v>
      </c>
    </row>
    <row r="170" spans="1:5" s="1" customFormat="1" ht="34.5" customHeight="1">
      <c r="A170" s="2">
        <v>168</v>
      </c>
      <c r="B170" s="2" t="str">
        <f>"35932021120714562664938"</f>
        <v>35932021120714562664938</v>
      </c>
      <c r="C170" s="2" t="s">
        <v>8</v>
      </c>
      <c r="D170" s="2" t="str">
        <f>"吴乾超"</f>
        <v>吴乾超</v>
      </c>
      <c r="E170" s="2" t="str">
        <f>"男"</f>
        <v>男</v>
      </c>
    </row>
    <row r="171" spans="1:5" s="1" customFormat="1" ht="34.5" customHeight="1">
      <c r="A171" s="2">
        <v>169</v>
      </c>
      <c r="B171" s="2" t="str">
        <f>"35932021120714593864952"</f>
        <v>35932021120714593864952</v>
      </c>
      <c r="C171" s="2" t="s">
        <v>8</v>
      </c>
      <c r="D171" s="2" t="str">
        <f>"林丽婷"</f>
        <v>林丽婷</v>
      </c>
      <c r="E171" s="2" t="str">
        <f>"女"</f>
        <v>女</v>
      </c>
    </row>
    <row r="172" spans="1:5" s="1" customFormat="1" ht="34.5" customHeight="1">
      <c r="A172" s="2">
        <v>170</v>
      </c>
      <c r="B172" s="2" t="str">
        <f>"35932021120715031064963"</f>
        <v>35932021120715031064963</v>
      </c>
      <c r="C172" s="2" t="s">
        <v>8</v>
      </c>
      <c r="D172" s="2" t="str">
        <f>"苏雨婷"</f>
        <v>苏雨婷</v>
      </c>
      <c r="E172" s="2" t="str">
        <f>"女"</f>
        <v>女</v>
      </c>
    </row>
    <row r="173" spans="1:5" s="1" customFormat="1" ht="34.5" customHeight="1">
      <c r="A173" s="2">
        <v>171</v>
      </c>
      <c r="B173" s="2" t="str">
        <f>"35932021120715053264966"</f>
        <v>35932021120715053264966</v>
      </c>
      <c r="C173" s="2" t="s">
        <v>8</v>
      </c>
      <c r="D173" s="2" t="str">
        <f>"谢耀欣"</f>
        <v>谢耀欣</v>
      </c>
      <c r="E173" s="2" t="str">
        <f>"男"</f>
        <v>男</v>
      </c>
    </row>
    <row r="174" spans="1:5" s="1" customFormat="1" ht="34.5" customHeight="1">
      <c r="A174" s="2">
        <v>172</v>
      </c>
      <c r="B174" s="2" t="str">
        <f>"35932021120715231865019"</f>
        <v>35932021120715231865019</v>
      </c>
      <c r="C174" s="2" t="s">
        <v>8</v>
      </c>
      <c r="D174" s="2" t="str">
        <f>"林小妹"</f>
        <v>林小妹</v>
      </c>
      <c r="E174" s="2" t="str">
        <f>"女"</f>
        <v>女</v>
      </c>
    </row>
    <row r="175" spans="1:5" s="1" customFormat="1" ht="34.5" customHeight="1">
      <c r="A175" s="2">
        <v>173</v>
      </c>
      <c r="B175" s="2" t="str">
        <f>"35932021120715250465024"</f>
        <v>35932021120715250465024</v>
      </c>
      <c r="C175" s="2" t="s">
        <v>8</v>
      </c>
      <c r="D175" s="2" t="str">
        <f>"王辉"</f>
        <v>王辉</v>
      </c>
      <c r="E175" s="2" t="str">
        <f>"男"</f>
        <v>男</v>
      </c>
    </row>
    <row r="176" spans="1:5" s="1" customFormat="1" ht="34.5" customHeight="1">
      <c r="A176" s="2">
        <v>174</v>
      </c>
      <c r="B176" s="2" t="str">
        <f>"35932021120715285965037"</f>
        <v>35932021120715285965037</v>
      </c>
      <c r="C176" s="2" t="s">
        <v>8</v>
      </c>
      <c r="D176" s="2" t="str">
        <f>"王舒凌"</f>
        <v>王舒凌</v>
      </c>
      <c r="E176" s="2" t="str">
        <f>"女"</f>
        <v>女</v>
      </c>
    </row>
    <row r="177" spans="1:5" s="1" customFormat="1" ht="34.5" customHeight="1">
      <c r="A177" s="2">
        <v>175</v>
      </c>
      <c r="B177" s="2" t="str">
        <f>"35932021120715304865040"</f>
        <v>35932021120715304865040</v>
      </c>
      <c r="C177" s="2" t="s">
        <v>8</v>
      </c>
      <c r="D177" s="2" t="str">
        <f>"史婷婷"</f>
        <v>史婷婷</v>
      </c>
      <c r="E177" s="2" t="str">
        <f>"女"</f>
        <v>女</v>
      </c>
    </row>
    <row r="178" spans="1:5" s="1" customFormat="1" ht="34.5" customHeight="1">
      <c r="A178" s="2">
        <v>176</v>
      </c>
      <c r="B178" s="2" t="str">
        <f>"35932021120715361165054"</f>
        <v>35932021120715361165054</v>
      </c>
      <c r="C178" s="2" t="s">
        <v>8</v>
      </c>
      <c r="D178" s="2" t="str">
        <f>"吴丽选"</f>
        <v>吴丽选</v>
      </c>
      <c r="E178" s="2" t="str">
        <f>"女"</f>
        <v>女</v>
      </c>
    </row>
    <row r="179" spans="1:5" s="1" customFormat="1" ht="34.5" customHeight="1">
      <c r="A179" s="2">
        <v>177</v>
      </c>
      <c r="B179" s="2" t="str">
        <f>"35932021120715364665056"</f>
        <v>35932021120715364665056</v>
      </c>
      <c r="C179" s="2" t="s">
        <v>8</v>
      </c>
      <c r="D179" s="2" t="str">
        <f>"邓志威"</f>
        <v>邓志威</v>
      </c>
      <c r="E179" s="2" t="str">
        <f>"男"</f>
        <v>男</v>
      </c>
    </row>
    <row r="180" spans="1:5" s="1" customFormat="1" ht="34.5" customHeight="1">
      <c r="A180" s="2">
        <v>178</v>
      </c>
      <c r="B180" s="2" t="str">
        <f>"35932021120716044665138"</f>
        <v>35932021120716044665138</v>
      </c>
      <c r="C180" s="2" t="s">
        <v>8</v>
      </c>
      <c r="D180" s="2" t="str">
        <f>"吴照亮"</f>
        <v>吴照亮</v>
      </c>
      <c r="E180" s="2" t="str">
        <f>"男"</f>
        <v>男</v>
      </c>
    </row>
    <row r="181" spans="1:5" s="1" customFormat="1" ht="34.5" customHeight="1">
      <c r="A181" s="2">
        <v>179</v>
      </c>
      <c r="B181" s="2" t="str">
        <f>"35932021120716054065141"</f>
        <v>35932021120716054065141</v>
      </c>
      <c r="C181" s="2" t="s">
        <v>8</v>
      </c>
      <c r="D181" s="2" t="str">
        <f>"许悦"</f>
        <v>许悦</v>
      </c>
      <c r="E181" s="2" t="str">
        <f>"女"</f>
        <v>女</v>
      </c>
    </row>
    <row r="182" spans="1:5" s="1" customFormat="1" ht="34.5" customHeight="1">
      <c r="A182" s="2">
        <v>180</v>
      </c>
      <c r="B182" s="2" t="str">
        <f>"35932021120716233465185"</f>
        <v>35932021120716233465185</v>
      </c>
      <c r="C182" s="2" t="s">
        <v>8</v>
      </c>
      <c r="D182" s="2" t="str">
        <f>"王海婷"</f>
        <v>王海婷</v>
      </c>
      <c r="E182" s="2" t="str">
        <f>"女"</f>
        <v>女</v>
      </c>
    </row>
    <row r="183" spans="1:5" s="1" customFormat="1" ht="34.5" customHeight="1">
      <c r="A183" s="2">
        <v>181</v>
      </c>
      <c r="B183" s="2" t="str">
        <f>"35932021120716441765245"</f>
        <v>35932021120716441765245</v>
      </c>
      <c r="C183" s="2" t="s">
        <v>8</v>
      </c>
      <c r="D183" s="2" t="str">
        <f>"郑敦雄"</f>
        <v>郑敦雄</v>
      </c>
      <c r="E183" s="2" t="str">
        <f>"男"</f>
        <v>男</v>
      </c>
    </row>
    <row r="184" spans="1:5" s="1" customFormat="1" ht="34.5" customHeight="1">
      <c r="A184" s="2">
        <v>182</v>
      </c>
      <c r="B184" s="2" t="str">
        <f>"35932021120716443365248"</f>
        <v>35932021120716443365248</v>
      </c>
      <c r="C184" s="2" t="s">
        <v>8</v>
      </c>
      <c r="D184" s="2" t="str">
        <f>"林敏亮"</f>
        <v>林敏亮</v>
      </c>
      <c r="E184" s="2" t="str">
        <f>"男"</f>
        <v>男</v>
      </c>
    </row>
    <row r="185" spans="1:5" s="1" customFormat="1" ht="34.5" customHeight="1">
      <c r="A185" s="2">
        <v>183</v>
      </c>
      <c r="B185" s="2" t="str">
        <f>"35932021120716503365259"</f>
        <v>35932021120716503365259</v>
      </c>
      <c r="C185" s="2" t="s">
        <v>8</v>
      </c>
      <c r="D185" s="2" t="str">
        <f>"李雨桐"</f>
        <v>李雨桐</v>
      </c>
      <c r="E185" s="2" t="str">
        <f>"女"</f>
        <v>女</v>
      </c>
    </row>
    <row r="186" spans="1:5" s="1" customFormat="1" ht="34.5" customHeight="1">
      <c r="A186" s="2">
        <v>184</v>
      </c>
      <c r="B186" s="2" t="str">
        <f>"35932021120716593065279"</f>
        <v>35932021120716593065279</v>
      </c>
      <c r="C186" s="2" t="s">
        <v>8</v>
      </c>
      <c r="D186" s="2" t="str">
        <f>"黄贤倚"</f>
        <v>黄贤倚</v>
      </c>
      <c r="E186" s="2" t="str">
        <f>"男"</f>
        <v>男</v>
      </c>
    </row>
    <row r="187" spans="1:5" s="1" customFormat="1" ht="34.5" customHeight="1">
      <c r="A187" s="2">
        <v>185</v>
      </c>
      <c r="B187" s="2" t="str">
        <f>"35932021120717004765282"</f>
        <v>35932021120717004765282</v>
      </c>
      <c r="C187" s="2" t="s">
        <v>8</v>
      </c>
      <c r="D187" s="2" t="str">
        <f>"李奇林"</f>
        <v>李奇林</v>
      </c>
      <c r="E187" s="2" t="str">
        <f>"男"</f>
        <v>男</v>
      </c>
    </row>
    <row r="188" spans="1:5" s="1" customFormat="1" ht="34.5" customHeight="1">
      <c r="A188" s="2">
        <v>186</v>
      </c>
      <c r="B188" s="2" t="str">
        <f>"35932021120717111465305"</f>
        <v>35932021120717111465305</v>
      </c>
      <c r="C188" s="2" t="s">
        <v>8</v>
      </c>
      <c r="D188" s="2" t="str">
        <f>"温盛亮"</f>
        <v>温盛亮</v>
      </c>
      <c r="E188" s="2" t="str">
        <f>"男"</f>
        <v>男</v>
      </c>
    </row>
    <row r="189" spans="1:5" s="1" customFormat="1" ht="34.5" customHeight="1">
      <c r="A189" s="2">
        <v>187</v>
      </c>
      <c r="B189" s="2" t="str">
        <f>"35932021120717212865321"</f>
        <v>35932021120717212865321</v>
      </c>
      <c r="C189" s="2" t="s">
        <v>8</v>
      </c>
      <c r="D189" s="2" t="str">
        <f>"林江转"</f>
        <v>林江转</v>
      </c>
      <c r="E189" s="2" t="str">
        <f>"女"</f>
        <v>女</v>
      </c>
    </row>
    <row r="190" spans="1:5" s="1" customFormat="1" ht="34.5" customHeight="1">
      <c r="A190" s="2">
        <v>188</v>
      </c>
      <c r="B190" s="2" t="str">
        <f>"35932021120717284165331"</f>
        <v>35932021120717284165331</v>
      </c>
      <c r="C190" s="2" t="s">
        <v>8</v>
      </c>
      <c r="D190" s="2" t="str">
        <f>"吴富月"</f>
        <v>吴富月</v>
      </c>
      <c r="E190" s="2" t="str">
        <f>"女"</f>
        <v>女</v>
      </c>
    </row>
    <row r="191" spans="1:5" s="1" customFormat="1" ht="34.5" customHeight="1">
      <c r="A191" s="2">
        <v>189</v>
      </c>
      <c r="B191" s="2" t="str">
        <f>"35932021120717305465334"</f>
        <v>35932021120717305465334</v>
      </c>
      <c r="C191" s="2" t="s">
        <v>8</v>
      </c>
      <c r="D191" s="2" t="str">
        <f>"陈思思"</f>
        <v>陈思思</v>
      </c>
      <c r="E191" s="2" t="str">
        <f>"女"</f>
        <v>女</v>
      </c>
    </row>
    <row r="192" spans="1:5" s="1" customFormat="1" ht="34.5" customHeight="1">
      <c r="A192" s="2">
        <v>190</v>
      </c>
      <c r="B192" s="2" t="str">
        <f>"35932021120717362465339"</f>
        <v>35932021120717362465339</v>
      </c>
      <c r="C192" s="2" t="s">
        <v>8</v>
      </c>
      <c r="D192" s="2" t="str">
        <f>"刘倩娇"</f>
        <v>刘倩娇</v>
      </c>
      <c r="E192" s="2" t="str">
        <f>"女"</f>
        <v>女</v>
      </c>
    </row>
    <row r="193" spans="1:5" s="1" customFormat="1" ht="34.5" customHeight="1">
      <c r="A193" s="2">
        <v>191</v>
      </c>
      <c r="B193" s="2" t="str">
        <f>"35932021120717405365345"</f>
        <v>35932021120717405365345</v>
      </c>
      <c r="C193" s="2" t="s">
        <v>8</v>
      </c>
      <c r="D193" s="2" t="str">
        <f>"陈道帅"</f>
        <v>陈道帅</v>
      </c>
      <c r="E193" s="2" t="str">
        <f>"男"</f>
        <v>男</v>
      </c>
    </row>
    <row r="194" spans="1:5" s="1" customFormat="1" ht="34.5" customHeight="1">
      <c r="A194" s="2">
        <v>192</v>
      </c>
      <c r="B194" s="2" t="str">
        <f>"35932021120717433265347"</f>
        <v>35932021120717433265347</v>
      </c>
      <c r="C194" s="2" t="s">
        <v>8</v>
      </c>
      <c r="D194" s="2" t="str">
        <f>"王忠丽"</f>
        <v>王忠丽</v>
      </c>
      <c r="E194" s="2" t="str">
        <f>"女"</f>
        <v>女</v>
      </c>
    </row>
    <row r="195" spans="1:5" s="1" customFormat="1" ht="34.5" customHeight="1">
      <c r="A195" s="2">
        <v>193</v>
      </c>
      <c r="B195" s="2" t="str">
        <f>"35932021120718130665364"</f>
        <v>35932021120718130665364</v>
      </c>
      <c r="C195" s="2" t="s">
        <v>8</v>
      </c>
      <c r="D195" s="2" t="str">
        <f>"何思思"</f>
        <v>何思思</v>
      </c>
      <c r="E195" s="2" t="str">
        <f>"女"</f>
        <v>女</v>
      </c>
    </row>
    <row r="196" spans="1:5" s="1" customFormat="1" ht="34.5" customHeight="1">
      <c r="A196" s="2">
        <v>194</v>
      </c>
      <c r="B196" s="2" t="str">
        <f>"35932021120718151065366"</f>
        <v>35932021120718151065366</v>
      </c>
      <c r="C196" s="2" t="s">
        <v>8</v>
      </c>
      <c r="D196" s="2" t="str">
        <f>"王应轮"</f>
        <v>王应轮</v>
      </c>
      <c r="E196" s="2" t="str">
        <f>"女"</f>
        <v>女</v>
      </c>
    </row>
    <row r="197" spans="1:5" s="1" customFormat="1" ht="34.5" customHeight="1">
      <c r="A197" s="2">
        <v>195</v>
      </c>
      <c r="B197" s="2" t="str">
        <f>"35932021120718274165370"</f>
        <v>35932021120718274165370</v>
      </c>
      <c r="C197" s="2" t="s">
        <v>8</v>
      </c>
      <c r="D197" s="2" t="str">
        <f>"苏定珀"</f>
        <v>苏定珀</v>
      </c>
      <c r="E197" s="2" t="str">
        <f>"男"</f>
        <v>男</v>
      </c>
    </row>
    <row r="198" spans="1:5" s="1" customFormat="1" ht="34.5" customHeight="1">
      <c r="A198" s="2">
        <v>196</v>
      </c>
      <c r="B198" s="2" t="str">
        <f>"35932021120718465465383"</f>
        <v>35932021120718465465383</v>
      </c>
      <c r="C198" s="2" t="s">
        <v>8</v>
      </c>
      <c r="D198" s="2" t="str">
        <f>"周俊杰"</f>
        <v>周俊杰</v>
      </c>
      <c r="E198" s="2" t="str">
        <f>"男"</f>
        <v>男</v>
      </c>
    </row>
    <row r="199" spans="1:5" s="1" customFormat="1" ht="34.5" customHeight="1">
      <c r="A199" s="2">
        <v>197</v>
      </c>
      <c r="B199" s="2" t="str">
        <f>"35932021120718480465384"</f>
        <v>35932021120718480465384</v>
      </c>
      <c r="C199" s="2" t="s">
        <v>8</v>
      </c>
      <c r="D199" s="2" t="str">
        <f>"符雪怡"</f>
        <v>符雪怡</v>
      </c>
      <c r="E199" s="2" t="str">
        <f>"女"</f>
        <v>女</v>
      </c>
    </row>
    <row r="200" spans="1:5" s="1" customFormat="1" ht="34.5" customHeight="1">
      <c r="A200" s="2">
        <v>198</v>
      </c>
      <c r="B200" s="2" t="str">
        <f>"35932021120718490665386"</f>
        <v>35932021120718490665386</v>
      </c>
      <c r="C200" s="2" t="s">
        <v>8</v>
      </c>
      <c r="D200" s="2" t="str">
        <f>"文秀泰"</f>
        <v>文秀泰</v>
      </c>
      <c r="E200" s="2" t="str">
        <f>"男"</f>
        <v>男</v>
      </c>
    </row>
    <row r="201" spans="1:5" s="1" customFormat="1" ht="34.5" customHeight="1">
      <c r="A201" s="2">
        <v>199</v>
      </c>
      <c r="B201" s="2" t="str">
        <f>"35932021120719112365394"</f>
        <v>35932021120719112365394</v>
      </c>
      <c r="C201" s="2" t="s">
        <v>8</v>
      </c>
      <c r="D201" s="2" t="str">
        <f>"陈能"</f>
        <v>陈能</v>
      </c>
      <c r="E201" s="2" t="str">
        <f>"男"</f>
        <v>男</v>
      </c>
    </row>
    <row r="202" spans="1:5" s="1" customFormat="1" ht="34.5" customHeight="1">
      <c r="A202" s="2">
        <v>200</v>
      </c>
      <c r="B202" s="2" t="str">
        <f>"35932021120719122965396"</f>
        <v>35932021120719122965396</v>
      </c>
      <c r="C202" s="2" t="s">
        <v>8</v>
      </c>
      <c r="D202" s="2" t="str">
        <f>"陈锐轩"</f>
        <v>陈锐轩</v>
      </c>
      <c r="E202" s="2" t="str">
        <f>"男"</f>
        <v>男</v>
      </c>
    </row>
    <row r="203" spans="1:5" s="1" customFormat="1" ht="34.5" customHeight="1">
      <c r="A203" s="2">
        <v>201</v>
      </c>
      <c r="B203" s="2" t="str">
        <f>"35932021120719141165398"</f>
        <v>35932021120719141165398</v>
      </c>
      <c r="C203" s="2" t="s">
        <v>8</v>
      </c>
      <c r="D203" s="2" t="str">
        <f>"吉家俊"</f>
        <v>吉家俊</v>
      </c>
      <c r="E203" s="2" t="str">
        <f>"男"</f>
        <v>男</v>
      </c>
    </row>
    <row r="204" spans="1:5" s="1" customFormat="1" ht="34.5" customHeight="1">
      <c r="A204" s="2">
        <v>202</v>
      </c>
      <c r="B204" s="2" t="str">
        <f>"35932021120719214365406"</f>
        <v>35932021120719214365406</v>
      </c>
      <c r="C204" s="2" t="s">
        <v>8</v>
      </c>
      <c r="D204" s="2" t="str">
        <f>"黄丹槟"</f>
        <v>黄丹槟</v>
      </c>
      <c r="E204" s="2" t="str">
        <f>"女"</f>
        <v>女</v>
      </c>
    </row>
    <row r="205" spans="1:5" s="1" customFormat="1" ht="34.5" customHeight="1">
      <c r="A205" s="2">
        <v>203</v>
      </c>
      <c r="B205" s="2" t="str">
        <f>"35932021120719251365412"</f>
        <v>35932021120719251365412</v>
      </c>
      <c r="C205" s="2" t="s">
        <v>8</v>
      </c>
      <c r="D205" s="2" t="str">
        <f>"王腾"</f>
        <v>王腾</v>
      </c>
      <c r="E205" s="2" t="str">
        <f>"男"</f>
        <v>男</v>
      </c>
    </row>
    <row r="206" spans="1:5" s="1" customFormat="1" ht="34.5" customHeight="1">
      <c r="A206" s="2">
        <v>204</v>
      </c>
      <c r="B206" s="2" t="str">
        <f>"35932021120719281865413"</f>
        <v>35932021120719281865413</v>
      </c>
      <c r="C206" s="2" t="s">
        <v>8</v>
      </c>
      <c r="D206" s="2" t="str">
        <f>"陈飞"</f>
        <v>陈飞</v>
      </c>
      <c r="E206" s="2" t="str">
        <f>"男"</f>
        <v>男</v>
      </c>
    </row>
    <row r="207" spans="1:5" s="1" customFormat="1" ht="34.5" customHeight="1">
      <c r="A207" s="2">
        <v>205</v>
      </c>
      <c r="B207" s="2" t="str">
        <f>"35932021120719323065417"</f>
        <v>35932021120719323065417</v>
      </c>
      <c r="C207" s="2" t="s">
        <v>8</v>
      </c>
      <c r="D207" s="2" t="str">
        <f>"梅向南"</f>
        <v>梅向南</v>
      </c>
      <c r="E207" s="2" t="str">
        <f>"男"</f>
        <v>男</v>
      </c>
    </row>
    <row r="208" spans="1:5" s="1" customFormat="1" ht="34.5" customHeight="1">
      <c r="A208" s="2">
        <v>206</v>
      </c>
      <c r="B208" s="2" t="str">
        <f>"35932021120719355465418"</f>
        <v>35932021120719355465418</v>
      </c>
      <c r="C208" s="2" t="s">
        <v>8</v>
      </c>
      <c r="D208" s="2" t="str">
        <f>"潘孝柳"</f>
        <v>潘孝柳</v>
      </c>
      <c r="E208" s="2" t="str">
        <f>"女"</f>
        <v>女</v>
      </c>
    </row>
    <row r="209" spans="1:5" s="1" customFormat="1" ht="34.5" customHeight="1">
      <c r="A209" s="2">
        <v>207</v>
      </c>
      <c r="B209" s="2" t="str">
        <f>"35932021120720115465444"</f>
        <v>35932021120720115465444</v>
      </c>
      <c r="C209" s="2" t="s">
        <v>8</v>
      </c>
      <c r="D209" s="2" t="str">
        <f>"柳澍琛"</f>
        <v>柳澍琛</v>
      </c>
      <c r="E209" s="2" t="str">
        <f>"男"</f>
        <v>男</v>
      </c>
    </row>
    <row r="210" spans="1:5" s="1" customFormat="1" ht="34.5" customHeight="1">
      <c r="A210" s="2">
        <v>208</v>
      </c>
      <c r="B210" s="2" t="str">
        <f>"35932021120720155165447"</f>
        <v>35932021120720155165447</v>
      </c>
      <c r="C210" s="2" t="s">
        <v>8</v>
      </c>
      <c r="D210" s="2" t="str">
        <f>"吕诗言"</f>
        <v>吕诗言</v>
      </c>
      <c r="E210" s="2" t="str">
        <f>"女"</f>
        <v>女</v>
      </c>
    </row>
    <row r="211" spans="1:5" s="1" customFormat="1" ht="34.5" customHeight="1">
      <c r="A211" s="2">
        <v>209</v>
      </c>
      <c r="B211" s="2" t="str">
        <f>"35932021120720310765453"</f>
        <v>35932021120720310765453</v>
      </c>
      <c r="C211" s="2" t="s">
        <v>8</v>
      </c>
      <c r="D211" s="2" t="str">
        <f>"吴奇李"</f>
        <v>吴奇李</v>
      </c>
      <c r="E211" s="2" t="str">
        <f>"男"</f>
        <v>男</v>
      </c>
    </row>
    <row r="212" spans="1:5" s="1" customFormat="1" ht="34.5" customHeight="1">
      <c r="A212" s="2">
        <v>210</v>
      </c>
      <c r="B212" s="2" t="str">
        <f>"35932021120720360665456"</f>
        <v>35932021120720360665456</v>
      </c>
      <c r="C212" s="2" t="s">
        <v>8</v>
      </c>
      <c r="D212" s="2" t="str">
        <f>"洪怡芬"</f>
        <v>洪怡芬</v>
      </c>
      <c r="E212" s="2" t="str">
        <f>"女"</f>
        <v>女</v>
      </c>
    </row>
    <row r="213" spans="1:5" s="1" customFormat="1" ht="34.5" customHeight="1">
      <c r="A213" s="2">
        <v>211</v>
      </c>
      <c r="B213" s="2" t="str">
        <f>"35932021120720561065465"</f>
        <v>35932021120720561065465</v>
      </c>
      <c r="C213" s="2" t="s">
        <v>8</v>
      </c>
      <c r="D213" s="2" t="str">
        <f>"邝敦佳"</f>
        <v>邝敦佳</v>
      </c>
      <c r="E213" s="2" t="str">
        <f aca="true" t="shared" si="4" ref="E213:E220">"男"</f>
        <v>男</v>
      </c>
    </row>
    <row r="214" spans="1:5" s="1" customFormat="1" ht="34.5" customHeight="1">
      <c r="A214" s="2">
        <v>212</v>
      </c>
      <c r="B214" s="2" t="str">
        <f>"35932021120721081165476"</f>
        <v>35932021120721081165476</v>
      </c>
      <c r="C214" s="2" t="s">
        <v>8</v>
      </c>
      <c r="D214" s="2" t="str">
        <f>"郑宾"</f>
        <v>郑宾</v>
      </c>
      <c r="E214" s="2" t="str">
        <f t="shared" si="4"/>
        <v>男</v>
      </c>
    </row>
    <row r="215" spans="1:5" s="1" customFormat="1" ht="34.5" customHeight="1">
      <c r="A215" s="2">
        <v>213</v>
      </c>
      <c r="B215" s="2" t="str">
        <f>"35932021120721270665485"</f>
        <v>35932021120721270665485</v>
      </c>
      <c r="C215" s="2" t="s">
        <v>8</v>
      </c>
      <c r="D215" s="2" t="str">
        <f>"罗剑"</f>
        <v>罗剑</v>
      </c>
      <c r="E215" s="2" t="str">
        <f t="shared" si="4"/>
        <v>男</v>
      </c>
    </row>
    <row r="216" spans="1:5" s="1" customFormat="1" ht="34.5" customHeight="1">
      <c r="A216" s="2">
        <v>214</v>
      </c>
      <c r="B216" s="2" t="str">
        <f>"35932021120721382165490"</f>
        <v>35932021120721382165490</v>
      </c>
      <c r="C216" s="2" t="s">
        <v>8</v>
      </c>
      <c r="D216" s="2" t="str">
        <f>"吴淑新"</f>
        <v>吴淑新</v>
      </c>
      <c r="E216" s="2" t="str">
        <f t="shared" si="4"/>
        <v>男</v>
      </c>
    </row>
    <row r="217" spans="1:5" s="1" customFormat="1" ht="34.5" customHeight="1">
      <c r="A217" s="2">
        <v>215</v>
      </c>
      <c r="B217" s="2" t="str">
        <f>"35932021120722032865507"</f>
        <v>35932021120722032865507</v>
      </c>
      <c r="C217" s="2" t="s">
        <v>8</v>
      </c>
      <c r="D217" s="2" t="str">
        <f>"王晶"</f>
        <v>王晶</v>
      </c>
      <c r="E217" s="2" t="str">
        <f t="shared" si="4"/>
        <v>男</v>
      </c>
    </row>
    <row r="218" spans="1:5" s="1" customFormat="1" ht="34.5" customHeight="1">
      <c r="A218" s="2">
        <v>216</v>
      </c>
      <c r="B218" s="2" t="str">
        <f>"35932021120722063065509"</f>
        <v>35932021120722063065509</v>
      </c>
      <c r="C218" s="2" t="s">
        <v>8</v>
      </c>
      <c r="D218" s="2" t="str">
        <f>"兰佳诚"</f>
        <v>兰佳诚</v>
      </c>
      <c r="E218" s="2" t="str">
        <f t="shared" si="4"/>
        <v>男</v>
      </c>
    </row>
    <row r="219" spans="1:5" s="1" customFormat="1" ht="34.5" customHeight="1">
      <c r="A219" s="2">
        <v>217</v>
      </c>
      <c r="B219" s="2" t="str">
        <f>"35932021120722161865515"</f>
        <v>35932021120722161865515</v>
      </c>
      <c r="C219" s="2" t="s">
        <v>8</v>
      </c>
      <c r="D219" s="2" t="str">
        <f>"陈慨"</f>
        <v>陈慨</v>
      </c>
      <c r="E219" s="2" t="str">
        <f t="shared" si="4"/>
        <v>男</v>
      </c>
    </row>
    <row r="220" spans="1:5" s="1" customFormat="1" ht="34.5" customHeight="1">
      <c r="A220" s="2">
        <v>218</v>
      </c>
      <c r="B220" s="2" t="str">
        <f>"35932021120722214365516"</f>
        <v>35932021120722214365516</v>
      </c>
      <c r="C220" s="2" t="s">
        <v>8</v>
      </c>
      <c r="D220" s="2" t="str">
        <f>"钟梁"</f>
        <v>钟梁</v>
      </c>
      <c r="E220" s="2" t="str">
        <f t="shared" si="4"/>
        <v>男</v>
      </c>
    </row>
    <row r="221" spans="1:5" s="1" customFormat="1" ht="34.5" customHeight="1">
      <c r="A221" s="2">
        <v>219</v>
      </c>
      <c r="B221" s="2" t="str">
        <f>"35932021120722251465519"</f>
        <v>35932021120722251465519</v>
      </c>
      <c r="C221" s="2" t="s">
        <v>8</v>
      </c>
      <c r="D221" s="2" t="str">
        <f>"黄丽雅"</f>
        <v>黄丽雅</v>
      </c>
      <c r="E221" s="2" t="str">
        <f>"女"</f>
        <v>女</v>
      </c>
    </row>
    <row r="222" spans="1:5" s="1" customFormat="1" ht="34.5" customHeight="1">
      <c r="A222" s="2">
        <v>220</v>
      </c>
      <c r="B222" s="2" t="str">
        <f>"35932021120722302165525"</f>
        <v>35932021120722302165525</v>
      </c>
      <c r="C222" s="2" t="s">
        <v>8</v>
      </c>
      <c r="D222" s="2" t="str">
        <f>"黄兹旺"</f>
        <v>黄兹旺</v>
      </c>
      <c r="E222" s="2" t="str">
        <f>"男"</f>
        <v>男</v>
      </c>
    </row>
    <row r="223" spans="1:5" s="1" customFormat="1" ht="34.5" customHeight="1">
      <c r="A223" s="2">
        <v>221</v>
      </c>
      <c r="B223" s="2" t="str">
        <f>"35932021120722364865528"</f>
        <v>35932021120722364865528</v>
      </c>
      <c r="C223" s="2" t="s">
        <v>8</v>
      </c>
      <c r="D223" s="2" t="str">
        <f>"王世钦"</f>
        <v>王世钦</v>
      </c>
      <c r="E223" s="2" t="str">
        <f>"男"</f>
        <v>男</v>
      </c>
    </row>
    <row r="224" spans="1:5" s="1" customFormat="1" ht="34.5" customHeight="1">
      <c r="A224" s="2">
        <v>222</v>
      </c>
      <c r="B224" s="2" t="str">
        <f>"35932021120722381165529"</f>
        <v>35932021120722381165529</v>
      </c>
      <c r="C224" s="2" t="s">
        <v>8</v>
      </c>
      <c r="D224" s="2" t="str">
        <f>"李昌和"</f>
        <v>李昌和</v>
      </c>
      <c r="E224" s="2" t="str">
        <f>"男"</f>
        <v>男</v>
      </c>
    </row>
    <row r="225" spans="1:5" s="1" customFormat="1" ht="34.5" customHeight="1">
      <c r="A225" s="2">
        <v>223</v>
      </c>
      <c r="B225" s="2" t="str">
        <f>"35932021120722494965534"</f>
        <v>35932021120722494965534</v>
      </c>
      <c r="C225" s="2" t="s">
        <v>8</v>
      </c>
      <c r="D225" s="2" t="str">
        <f>"邢益韬"</f>
        <v>邢益韬</v>
      </c>
      <c r="E225" s="2" t="str">
        <f>"男"</f>
        <v>男</v>
      </c>
    </row>
    <row r="226" spans="1:5" s="1" customFormat="1" ht="34.5" customHeight="1">
      <c r="A226" s="2">
        <v>224</v>
      </c>
      <c r="B226" s="2" t="str">
        <f>"35932021120722525465537"</f>
        <v>35932021120722525465537</v>
      </c>
      <c r="C226" s="2" t="s">
        <v>8</v>
      </c>
      <c r="D226" s="2" t="str">
        <f>"叶定志"</f>
        <v>叶定志</v>
      </c>
      <c r="E226" s="2" t="str">
        <f>"男"</f>
        <v>男</v>
      </c>
    </row>
    <row r="227" spans="1:5" s="1" customFormat="1" ht="34.5" customHeight="1">
      <c r="A227" s="2">
        <v>225</v>
      </c>
      <c r="B227" s="2" t="str">
        <f>"35932021120723054665543"</f>
        <v>35932021120723054665543</v>
      </c>
      <c r="C227" s="2" t="s">
        <v>8</v>
      </c>
      <c r="D227" s="2" t="str">
        <f>"吴瑞"</f>
        <v>吴瑞</v>
      </c>
      <c r="E227" s="2" t="str">
        <f>"女"</f>
        <v>女</v>
      </c>
    </row>
    <row r="228" spans="1:5" s="1" customFormat="1" ht="34.5" customHeight="1">
      <c r="A228" s="2">
        <v>226</v>
      </c>
      <c r="B228" s="2" t="str">
        <f>"35932021120723361565552"</f>
        <v>35932021120723361565552</v>
      </c>
      <c r="C228" s="2" t="s">
        <v>8</v>
      </c>
      <c r="D228" s="2" t="str">
        <f>"梁振伟"</f>
        <v>梁振伟</v>
      </c>
      <c r="E228" s="2" t="str">
        <f>"男"</f>
        <v>男</v>
      </c>
    </row>
    <row r="229" spans="1:5" s="1" customFormat="1" ht="34.5" customHeight="1">
      <c r="A229" s="2">
        <v>227</v>
      </c>
      <c r="B229" s="2" t="str">
        <f>"35932021120723544865557"</f>
        <v>35932021120723544865557</v>
      </c>
      <c r="C229" s="2" t="s">
        <v>8</v>
      </c>
      <c r="D229" s="2" t="str">
        <f>"周世仕"</f>
        <v>周世仕</v>
      </c>
      <c r="E229" s="2" t="str">
        <f>"男"</f>
        <v>男</v>
      </c>
    </row>
    <row r="230" spans="1:5" s="1" customFormat="1" ht="34.5" customHeight="1">
      <c r="A230" s="2">
        <v>228</v>
      </c>
      <c r="B230" s="2" t="str">
        <f>"35932021120808144565573"</f>
        <v>35932021120808144565573</v>
      </c>
      <c r="C230" s="2" t="s">
        <v>8</v>
      </c>
      <c r="D230" s="2" t="str">
        <f>"王广颖"</f>
        <v>王广颖</v>
      </c>
      <c r="E230" s="2" t="str">
        <f>"男"</f>
        <v>男</v>
      </c>
    </row>
    <row r="231" spans="1:5" s="1" customFormat="1" ht="34.5" customHeight="1">
      <c r="A231" s="2">
        <v>229</v>
      </c>
      <c r="B231" s="2" t="str">
        <f>"35932021120808375865582"</f>
        <v>35932021120808375865582</v>
      </c>
      <c r="C231" s="2" t="s">
        <v>8</v>
      </c>
      <c r="D231" s="2" t="str">
        <f>"符有为"</f>
        <v>符有为</v>
      </c>
      <c r="E231" s="2" t="str">
        <f>"男"</f>
        <v>男</v>
      </c>
    </row>
    <row r="232" spans="1:5" s="1" customFormat="1" ht="34.5" customHeight="1">
      <c r="A232" s="2">
        <v>230</v>
      </c>
      <c r="B232" s="2" t="str">
        <f>"35932021120808575665598"</f>
        <v>35932021120808575665598</v>
      </c>
      <c r="C232" s="2" t="s">
        <v>8</v>
      </c>
      <c r="D232" s="2" t="str">
        <f>"蔡親海"</f>
        <v>蔡親海</v>
      </c>
      <c r="E232" s="2" t="str">
        <f>"男"</f>
        <v>男</v>
      </c>
    </row>
    <row r="233" spans="1:5" s="1" customFormat="1" ht="34.5" customHeight="1">
      <c r="A233" s="2">
        <v>231</v>
      </c>
      <c r="B233" s="2" t="str">
        <f>"35932021120809151565614"</f>
        <v>35932021120809151565614</v>
      </c>
      <c r="C233" s="2" t="s">
        <v>8</v>
      </c>
      <c r="D233" s="2" t="str">
        <f>"张文丽"</f>
        <v>张文丽</v>
      </c>
      <c r="E233" s="2" t="str">
        <f>"女"</f>
        <v>女</v>
      </c>
    </row>
    <row r="234" spans="1:5" s="1" customFormat="1" ht="34.5" customHeight="1">
      <c r="A234" s="2">
        <v>232</v>
      </c>
      <c r="B234" s="2" t="str">
        <f>"35932021120809192365615"</f>
        <v>35932021120809192365615</v>
      </c>
      <c r="C234" s="2" t="s">
        <v>8</v>
      </c>
      <c r="D234" s="2" t="str">
        <f>"蒙钟萍"</f>
        <v>蒙钟萍</v>
      </c>
      <c r="E234" s="2" t="str">
        <f>"男"</f>
        <v>男</v>
      </c>
    </row>
    <row r="235" spans="1:5" s="1" customFormat="1" ht="34.5" customHeight="1">
      <c r="A235" s="2">
        <v>233</v>
      </c>
      <c r="B235" s="2" t="str">
        <f>"35932021120809435565638"</f>
        <v>35932021120809435565638</v>
      </c>
      <c r="C235" s="2" t="s">
        <v>8</v>
      </c>
      <c r="D235" s="2" t="str">
        <f>"吴娟"</f>
        <v>吴娟</v>
      </c>
      <c r="E235" s="2" t="str">
        <f>"女"</f>
        <v>女</v>
      </c>
    </row>
    <row r="236" spans="1:5" s="1" customFormat="1" ht="34.5" customHeight="1">
      <c r="A236" s="2">
        <v>234</v>
      </c>
      <c r="B236" s="2" t="str">
        <f>"35932021120810170865666"</f>
        <v>35932021120810170865666</v>
      </c>
      <c r="C236" s="2" t="s">
        <v>8</v>
      </c>
      <c r="D236" s="2" t="str">
        <f>"何镇豪"</f>
        <v>何镇豪</v>
      </c>
      <c r="E236" s="2" t="str">
        <f>"男"</f>
        <v>男</v>
      </c>
    </row>
    <row r="237" spans="1:5" s="1" customFormat="1" ht="34.5" customHeight="1">
      <c r="A237" s="2">
        <v>235</v>
      </c>
      <c r="B237" s="2" t="str">
        <f>"35932021120810485665695"</f>
        <v>35932021120810485665695</v>
      </c>
      <c r="C237" s="2" t="s">
        <v>8</v>
      </c>
      <c r="D237" s="2" t="str">
        <f>"符彩云"</f>
        <v>符彩云</v>
      </c>
      <c r="E237" s="2" t="str">
        <f>"女"</f>
        <v>女</v>
      </c>
    </row>
    <row r="238" spans="1:5" s="1" customFormat="1" ht="34.5" customHeight="1">
      <c r="A238" s="2">
        <v>236</v>
      </c>
      <c r="B238" s="2" t="str">
        <f>"35932021120811105765711"</f>
        <v>35932021120811105765711</v>
      </c>
      <c r="C238" s="2" t="s">
        <v>8</v>
      </c>
      <c r="D238" s="2" t="str">
        <f>"陈俞蓉"</f>
        <v>陈俞蓉</v>
      </c>
      <c r="E238" s="2" t="str">
        <f>"女"</f>
        <v>女</v>
      </c>
    </row>
    <row r="239" spans="1:5" s="1" customFormat="1" ht="34.5" customHeight="1">
      <c r="A239" s="2">
        <v>237</v>
      </c>
      <c r="B239" s="2" t="str">
        <f>"35932021120811163465714"</f>
        <v>35932021120811163465714</v>
      </c>
      <c r="C239" s="2" t="s">
        <v>8</v>
      </c>
      <c r="D239" s="2" t="str">
        <f>"邱玉萍"</f>
        <v>邱玉萍</v>
      </c>
      <c r="E239" s="2" t="str">
        <f>"女"</f>
        <v>女</v>
      </c>
    </row>
    <row r="240" spans="1:5" s="1" customFormat="1" ht="34.5" customHeight="1">
      <c r="A240" s="2">
        <v>238</v>
      </c>
      <c r="B240" s="2" t="str">
        <f>"35932021120811351865729"</f>
        <v>35932021120811351865729</v>
      </c>
      <c r="C240" s="2" t="s">
        <v>8</v>
      </c>
      <c r="D240" s="2" t="str">
        <f>"冯菲"</f>
        <v>冯菲</v>
      </c>
      <c r="E240" s="2" t="str">
        <f>"女"</f>
        <v>女</v>
      </c>
    </row>
    <row r="241" spans="1:5" s="1" customFormat="1" ht="34.5" customHeight="1">
      <c r="A241" s="2">
        <v>239</v>
      </c>
      <c r="B241" s="2" t="str">
        <f>"35932021120811475265740"</f>
        <v>35932021120811475265740</v>
      </c>
      <c r="C241" s="2" t="s">
        <v>8</v>
      </c>
      <c r="D241" s="2" t="str">
        <f>"李佳佳"</f>
        <v>李佳佳</v>
      </c>
      <c r="E241" s="2" t="str">
        <f>"女"</f>
        <v>女</v>
      </c>
    </row>
    <row r="242" spans="1:5" s="1" customFormat="1" ht="34.5" customHeight="1">
      <c r="A242" s="2">
        <v>240</v>
      </c>
      <c r="B242" s="2" t="str">
        <f>"35932021120812454365766"</f>
        <v>35932021120812454365766</v>
      </c>
      <c r="C242" s="2" t="s">
        <v>8</v>
      </c>
      <c r="D242" s="2" t="str">
        <f>"郭占芳"</f>
        <v>郭占芳</v>
      </c>
      <c r="E242" s="2" t="str">
        <f>"男"</f>
        <v>男</v>
      </c>
    </row>
    <row r="243" spans="1:5" s="1" customFormat="1" ht="34.5" customHeight="1">
      <c r="A243" s="2">
        <v>241</v>
      </c>
      <c r="B243" s="2" t="str">
        <f>"35932021120812465465767"</f>
        <v>35932021120812465465767</v>
      </c>
      <c r="C243" s="2" t="s">
        <v>8</v>
      </c>
      <c r="D243" s="2" t="str">
        <f>"林梅"</f>
        <v>林梅</v>
      </c>
      <c r="E243" s="2" t="str">
        <f>"女"</f>
        <v>女</v>
      </c>
    </row>
    <row r="244" spans="1:5" s="1" customFormat="1" ht="34.5" customHeight="1">
      <c r="A244" s="2">
        <v>242</v>
      </c>
      <c r="B244" s="2" t="str">
        <f>"35932021120812540965771"</f>
        <v>35932021120812540965771</v>
      </c>
      <c r="C244" s="2" t="s">
        <v>8</v>
      </c>
      <c r="D244" s="2" t="str">
        <f>"郭伟健"</f>
        <v>郭伟健</v>
      </c>
      <c r="E244" s="2" t="str">
        <f>"男"</f>
        <v>男</v>
      </c>
    </row>
    <row r="245" spans="1:5" s="1" customFormat="1" ht="34.5" customHeight="1">
      <c r="A245" s="2">
        <v>243</v>
      </c>
      <c r="B245" s="2" t="str">
        <f>"35932021120812563465772"</f>
        <v>35932021120812563465772</v>
      </c>
      <c r="C245" s="2" t="s">
        <v>8</v>
      </c>
      <c r="D245" s="2" t="str">
        <f>"李贵俊"</f>
        <v>李贵俊</v>
      </c>
      <c r="E245" s="2" t="str">
        <f>"男"</f>
        <v>男</v>
      </c>
    </row>
    <row r="246" spans="1:5" s="1" customFormat="1" ht="34.5" customHeight="1">
      <c r="A246" s="2">
        <v>244</v>
      </c>
      <c r="B246" s="2" t="str">
        <f>"35932021120813003665773"</f>
        <v>35932021120813003665773</v>
      </c>
      <c r="C246" s="2" t="s">
        <v>8</v>
      </c>
      <c r="D246" s="2" t="str">
        <f>"陈文河"</f>
        <v>陈文河</v>
      </c>
      <c r="E246" s="2" t="str">
        <f>"男"</f>
        <v>男</v>
      </c>
    </row>
    <row r="247" spans="1:5" s="1" customFormat="1" ht="34.5" customHeight="1">
      <c r="A247" s="2">
        <v>245</v>
      </c>
      <c r="B247" s="2" t="str">
        <f>"35932021120813011265774"</f>
        <v>35932021120813011265774</v>
      </c>
      <c r="C247" s="2" t="s">
        <v>8</v>
      </c>
      <c r="D247" s="2" t="str">
        <f>"徐钰明"</f>
        <v>徐钰明</v>
      </c>
      <c r="E247" s="2" t="str">
        <f>"男"</f>
        <v>男</v>
      </c>
    </row>
    <row r="248" spans="1:5" s="1" customFormat="1" ht="34.5" customHeight="1">
      <c r="A248" s="2">
        <v>246</v>
      </c>
      <c r="B248" s="2" t="str">
        <f>"35932021120813023865776"</f>
        <v>35932021120813023865776</v>
      </c>
      <c r="C248" s="2" t="s">
        <v>8</v>
      </c>
      <c r="D248" s="2" t="str">
        <f>"岑举龙"</f>
        <v>岑举龙</v>
      </c>
      <c r="E248" s="2" t="str">
        <f>"男"</f>
        <v>男</v>
      </c>
    </row>
    <row r="249" spans="1:5" s="1" customFormat="1" ht="34.5" customHeight="1">
      <c r="A249" s="2">
        <v>247</v>
      </c>
      <c r="B249" s="2" t="str">
        <f>"35932021120813201765786"</f>
        <v>35932021120813201765786</v>
      </c>
      <c r="C249" s="2" t="s">
        <v>8</v>
      </c>
      <c r="D249" s="2" t="str">
        <f>"赵继含"</f>
        <v>赵继含</v>
      </c>
      <c r="E249" s="2" t="str">
        <f>"女"</f>
        <v>女</v>
      </c>
    </row>
    <row r="250" spans="1:5" s="1" customFormat="1" ht="34.5" customHeight="1">
      <c r="A250" s="2">
        <v>248</v>
      </c>
      <c r="B250" s="2" t="str">
        <f>"35932021120813582165802"</f>
        <v>35932021120813582165802</v>
      </c>
      <c r="C250" s="2" t="s">
        <v>8</v>
      </c>
      <c r="D250" s="2" t="str">
        <f>"文晓银"</f>
        <v>文晓银</v>
      </c>
      <c r="E250" s="2" t="str">
        <f>"女"</f>
        <v>女</v>
      </c>
    </row>
    <row r="251" spans="1:5" s="1" customFormat="1" ht="34.5" customHeight="1">
      <c r="A251" s="2">
        <v>249</v>
      </c>
      <c r="B251" s="2" t="str">
        <f>"35932021120814003065803"</f>
        <v>35932021120814003065803</v>
      </c>
      <c r="C251" s="2" t="s">
        <v>8</v>
      </c>
      <c r="D251" s="2" t="str">
        <f>"吴传宇"</f>
        <v>吴传宇</v>
      </c>
      <c r="E251" s="2" t="str">
        <f>"男"</f>
        <v>男</v>
      </c>
    </row>
    <row r="252" spans="1:5" s="1" customFormat="1" ht="34.5" customHeight="1">
      <c r="A252" s="2">
        <v>250</v>
      </c>
      <c r="B252" s="2" t="str">
        <f>"35932021120814171065809"</f>
        <v>35932021120814171065809</v>
      </c>
      <c r="C252" s="2" t="s">
        <v>8</v>
      </c>
      <c r="D252" s="2" t="str">
        <f>"符雪玉"</f>
        <v>符雪玉</v>
      </c>
      <c r="E252" s="2" t="str">
        <f>"女"</f>
        <v>女</v>
      </c>
    </row>
    <row r="253" spans="1:5" s="1" customFormat="1" ht="34.5" customHeight="1">
      <c r="A253" s="2">
        <v>251</v>
      </c>
      <c r="B253" s="2" t="str">
        <f>"35932021120814210865813"</f>
        <v>35932021120814210865813</v>
      </c>
      <c r="C253" s="2" t="s">
        <v>8</v>
      </c>
      <c r="D253" s="2" t="str">
        <f>"王思睿"</f>
        <v>王思睿</v>
      </c>
      <c r="E253" s="2" t="str">
        <f>"女"</f>
        <v>女</v>
      </c>
    </row>
    <row r="254" spans="1:5" s="1" customFormat="1" ht="34.5" customHeight="1">
      <c r="A254" s="2">
        <v>252</v>
      </c>
      <c r="B254" s="2" t="str">
        <f>"35932021120814282165817"</f>
        <v>35932021120814282165817</v>
      </c>
      <c r="C254" s="2" t="s">
        <v>8</v>
      </c>
      <c r="D254" s="2" t="str">
        <f>"王运仙"</f>
        <v>王运仙</v>
      </c>
      <c r="E254" s="2" t="str">
        <f>"男"</f>
        <v>男</v>
      </c>
    </row>
    <row r="255" spans="1:5" s="1" customFormat="1" ht="34.5" customHeight="1">
      <c r="A255" s="2">
        <v>253</v>
      </c>
      <c r="B255" s="2" t="str">
        <f>"35932021120814370065821"</f>
        <v>35932021120814370065821</v>
      </c>
      <c r="C255" s="2" t="s">
        <v>8</v>
      </c>
      <c r="D255" s="2" t="str">
        <f>"罗一云"</f>
        <v>罗一云</v>
      </c>
      <c r="E255" s="2" t="str">
        <f>"女"</f>
        <v>女</v>
      </c>
    </row>
    <row r="256" spans="1:5" s="1" customFormat="1" ht="34.5" customHeight="1">
      <c r="A256" s="2">
        <v>254</v>
      </c>
      <c r="B256" s="2" t="str">
        <f>"35932021120815105965833"</f>
        <v>35932021120815105965833</v>
      </c>
      <c r="C256" s="2" t="s">
        <v>8</v>
      </c>
      <c r="D256" s="2" t="str">
        <f>"蓝秋媛"</f>
        <v>蓝秋媛</v>
      </c>
      <c r="E256" s="2" t="str">
        <f>"女"</f>
        <v>女</v>
      </c>
    </row>
    <row r="257" spans="1:5" s="1" customFormat="1" ht="34.5" customHeight="1">
      <c r="A257" s="2">
        <v>255</v>
      </c>
      <c r="B257" s="2" t="str">
        <f>"35932021120815193365840"</f>
        <v>35932021120815193365840</v>
      </c>
      <c r="C257" s="2" t="s">
        <v>8</v>
      </c>
      <c r="D257" s="2" t="str">
        <f>"李遗冠"</f>
        <v>李遗冠</v>
      </c>
      <c r="E257" s="2" t="str">
        <f aca="true" t="shared" si="5" ref="E257:E272">"男"</f>
        <v>男</v>
      </c>
    </row>
    <row r="258" spans="1:5" s="1" customFormat="1" ht="34.5" customHeight="1">
      <c r="A258" s="2">
        <v>256</v>
      </c>
      <c r="B258" s="2" t="str">
        <f>"35932021120815435565862"</f>
        <v>35932021120815435565862</v>
      </c>
      <c r="C258" s="2" t="s">
        <v>8</v>
      </c>
      <c r="D258" s="2" t="str">
        <f>"王和宝"</f>
        <v>王和宝</v>
      </c>
      <c r="E258" s="2" t="str">
        <f t="shared" si="5"/>
        <v>男</v>
      </c>
    </row>
    <row r="259" spans="1:5" s="1" customFormat="1" ht="34.5" customHeight="1">
      <c r="A259" s="2">
        <v>257</v>
      </c>
      <c r="B259" s="2" t="str">
        <f>"35932021120816003465880"</f>
        <v>35932021120816003465880</v>
      </c>
      <c r="C259" s="2" t="s">
        <v>8</v>
      </c>
      <c r="D259" s="2" t="str">
        <f>"范新泰"</f>
        <v>范新泰</v>
      </c>
      <c r="E259" s="2" t="str">
        <f t="shared" si="5"/>
        <v>男</v>
      </c>
    </row>
    <row r="260" spans="1:5" s="1" customFormat="1" ht="34.5" customHeight="1">
      <c r="A260" s="2">
        <v>258</v>
      </c>
      <c r="B260" s="2" t="str">
        <f>"35932021120816012165881"</f>
        <v>35932021120816012165881</v>
      </c>
      <c r="C260" s="2" t="s">
        <v>8</v>
      </c>
      <c r="D260" s="2" t="str">
        <f>"陈孝业"</f>
        <v>陈孝业</v>
      </c>
      <c r="E260" s="2" t="str">
        <f t="shared" si="5"/>
        <v>男</v>
      </c>
    </row>
    <row r="261" spans="1:5" s="1" customFormat="1" ht="34.5" customHeight="1">
      <c r="A261" s="2">
        <v>259</v>
      </c>
      <c r="B261" s="2" t="str">
        <f>"35932021120816180765892"</f>
        <v>35932021120816180765892</v>
      </c>
      <c r="C261" s="2" t="s">
        <v>8</v>
      </c>
      <c r="D261" s="2" t="str">
        <f>"汤礼豪"</f>
        <v>汤礼豪</v>
      </c>
      <c r="E261" s="2" t="str">
        <f t="shared" si="5"/>
        <v>男</v>
      </c>
    </row>
    <row r="262" spans="1:5" s="1" customFormat="1" ht="34.5" customHeight="1">
      <c r="A262" s="2">
        <v>260</v>
      </c>
      <c r="B262" s="2" t="str">
        <f>"35932021120816252065898"</f>
        <v>35932021120816252065898</v>
      </c>
      <c r="C262" s="2" t="s">
        <v>8</v>
      </c>
      <c r="D262" s="2" t="str">
        <f>"蔡仁杰"</f>
        <v>蔡仁杰</v>
      </c>
      <c r="E262" s="2" t="str">
        <f t="shared" si="5"/>
        <v>男</v>
      </c>
    </row>
    <row r="263" spans="1:5" s="1" customFormat="1" ht="34.5" customHeight="1">
      <c r="A263" s="2">
        <v>261</v>
      </c>
      <c r="B263" s="2" t="str">
        <f>"35932021120816422965902"</f>
        <v>35932021120816422965902</v>
      </c>
      <c r="C263" s="2" t="s">
        <v>8</v>
      </c>
      <c r="D263" s="2" t="str">
        <f>"符永峰"</f>
        <v>符永峰</v>
      </c>
      <c r="E263" s="2" t="str">
        <f t="shared" si="5"/>
        <v>男</v>
      </c>
    </row>
    <row r="264" spans="1:5" s="1" customFormat="1" ht="34.5" customHeight="1">
      <c r="A264" s="2">
        <v>262</v>
      </c>
      <c r="B264" s="2" t="str">
        <f>"35932021120817163665917"</f>
        <v>35932021120817163665917</v>
      </c>
      <c r="C264" s="2" t="s">
        <v>8</v>
      </c>
      <c r="D264" s="2" t="str">
        <f>"符其再"</f>
        <v>符其再</v>
      </c>
      <c r="E264" s="2" t="str">
        <f t="shared" si="5"/>
        <v>男</v>
      </c>
    </row>
    <row r="265" spans="1:5" s="1" customFormat="1" ht="34.5" customHeight="1">
      <c r="A265" s="2">
        <v>263</v>
      </c>
      <c r="B265" s="2" t="str">
        <f>"35932021120817211565922"</f>
        <v>35932021120817211565922</v>
      </c>
      <c r="C265" s="2" t="s">
        <v>8</v>
      </c>
      <c r="D265" s="2" t="str">
        <f>"彭瑞玮"</f>
        <v>彭瑞玮</v>
      </c>
      <c r="E265" s="2" t="str">
        <f t="shared" si="5"/>
        <v>男</v>
      </c>
    </row>
    <row r="266" spans="1:5" s="1" customFormat="1" ht="34.5" customHeight="1">
      <c r="A266" s="2">
        <v>264</v>
      </c>
      <c r="B266" s="2" t="str">
        <f>"35932021120817414765937"</f>
        <v>35932021120817414765937</v>
      </c>
      <c r="C266" s="2" t="s">
        <v>8</v>
      </c>
      <c r="D266" s="2" t="str">
        <f>"林光海"</f>
        <v>林光海</v>
      </c>
      <c r="E266" s="2" t="str">
        <f t="shared" si="5"/>
        <v>男</v>
      </c>
    </row>
    <row r="267" spans="1:5" s="1" customFormat="1" ht="34.5" customHeight="1">
      <c r="A267" s="2">
        <v>265</v>
      </c>
      <c r="B267" s="2" t="str">
        <f>"35932021120818302065954"</f>
        <v>35932021120818302065954</v>
      </c>
      <c r="C267" s="2" t="s">
        <v>8</v>
      </c>
      <c r="D267" s="2" t="str">
        <f>"文宏"</f>
        <v>文宏</v>
      </c>
      <c r="E267" s="2" t="str">
        <f t="shared" si="5"/>
        <v>男</v>
      </c>
    </row>
    <row r="268" spans="1:5" s="1" customFormat="1" ht="34.5" customHeight="1">
      <c r="A268" s="2">
        <v>266</v>
      </c>
      <c r="B268" s="2" t="str">
        <f>"35932021120818470465962"</f>
        <v>35932021120818470465962</v>
      </c>
      <c r="C268" s="2" t="s">
        <v>8</v>
      </c>
      <c r="D268" s="2" t="str">
        <f>"杨海荃"</f>
        <v>杨海荃</v>
      </c>
      <c r="E268" s="2" t="str">
        <f t="shared" si="5"/>
        <v>男</v>
      </c>
    </row>
    <row r="269" spans="1:5" s="1" customFormat="1" ht="34.5" customHeight="1">
      <c r="A269" s="2">
        <v>267</v>
      </c>
      <c r="B269" s="2" t="str">
        <f>"35932021120819432565976"</f>
        <v>35932021120819432565976</v>
      </c>
      <c r="C269" s="2" t="s">
        <v>8</v>
      </c>
      <c r="D269" s="2" t="str">
        <f>"徐徐"</f>
        <v>徐徐</v>
      </c>
      <c r="E269" s="2" t="str">
        <f t="shared" si="5"/>
        <v>男</v>
      </c>
    </row>
    <row r="270" spans="1:5" s="1" customFormat="1" ht="34.5" customHeight="1">
      <c r="A270" s="2">
        <v>268</v>
      </c>
      <c r="B270" s="2" t="str">
        <f>"35932021120820380866007"</f>
        <v>35932021120820380866007</v>
      </c>
      <c r="C270" s="2" t="s">
        <v>8</v>
      </c>
      <c r="D270" s="2" t="str">
        <f>"符明敏"</f>
        <v>符明敏</v>
      </c>
      <c r="E270" s="2" t="str">
        <f t="shared" si="5"/>
        <v>男</v>
      </c>
    </row>
    <row r="271" spans="1:5" s="1" customFormat="1" ht="34.5" customHeight="1">
      <c r="A271" s="2">
        <v>269</v>
      </c>
      <c r="B271" s="2" t="str">
        <f>"35932021120820541366017"</f>
        <v>35932021120820541366017</v>
      </c>
      <c r="C271" s="2" t="s">
        <v>8</v>
      </c>
      <c r="D271" s="2" t="str">
        <f>"罗金羽"</f>
        <v>罗金羽</v>
      </c>
      <c r="E271" s="2" t="str">
        <f t="shared" si="5"/>
        <v>男</v>
      </c>
    </row>
    <row r="272" spans="1:5" s="1" customFormat="1" ht="34.5" customHeight="1">
      <c r="A272" s="2">
        <v>270</v>
      </c>
      <c r="B272" s="2" t="str">
        <f>"35932021120820564866020"</f>
        <v>35932021120820564866020</v>
      </c>
      <c r="C272" s="2" t="s">
        <v>8</v>
      </c>
      <c r="D272" s="2" t="str">
        <f>"陈扬"</f>
        <v>陈扬</v>
      </c>
      <c r="E272" s="2" t="str">
        <f t="shared" si="5"/>
        <v>男</v>
      </c>
    </row>
    <row r="273" spans="1:5" s="1" customFormat="1" ht="34.5" customHeight="1">
      <c r="A273" s="2">
        <v>271</v>
      </c>
      <c r="B273" s="2" t="str">
        <f>"35932021120821072166029"</f>
        <v>35932021120821072166029</v>
      </c>
      <c r="C273" s="2" t="s">
        <v>8</v>
      </c>
      <c r="D273" s="2" t="str">
        <f>"陈熙文"</f>
        <v>陈熙文</v>
      </c>
      <c r="E273" s="2" t="str">
        <f>"女"</f>
        <v>女</v>
      </c>
    </row>
    <row r="274" spans="1:5" s="1" customFormat="1" ht="34.5" customHeight="1">
      <c r="A274" s="2">
        <v>272</v>
      </c>
      <c r="B274" s="2" t="str">
        <f>"35932021120821324466040"</f>
        <v>35932021120821324466040</v>
      </c>
      <c r="C274" s="2" t="s">
        <v>8</v>
      </c>
      <c r="D274" s="2" t="str">
        <f>"黄晓慧"</f>
        <v>黄晓慧</v>
      </c>
      <c r="E274" s="2" t="str">
        <f>"女"</f>
        <v>女</v>
      </c>
    </row>
    <row r="275" spans="1:5" s="1" customFormat="1" ht="34.5" customHeight="1">
      <c r="A275" s="2">
        <v>273</v>
      </c>
      <c r="B275" s="2" t="str">
        <f>"35932021120821381566041"</f>
        <v>35932021120821381566041</v>
      </c>
      <c r="C275" s="2" t="s">
        <v>8</v>
      </c>
      <c r="D275" s="2" t="str">
        <f>"谭建峰"</f>
        <v>谭建峰</v>
      </c>
      <c r="E275" s="2" t="str">
        <f>"男"</f>
        <v>男</v>
      </c>
    </row>
    <row r="276" spans="1:5" s="1" customFormat="1" ht="34.5" customHeight="1">
      <c r="A276" s="2">
        <v>274</v>
      </c>
      <c r="B276" s="2" t="str">
        <f>"35932021120821382466042"</f>
        <v>35932021120821382466042</v>
      </c>
      <c r="C276" s="2" t="s">
        <v>8</v>
      </c>
      <c r="D276" s="2" t="str">
        <f>"符式松"</f>
        <v>符式松</v>
      </c>
      <c r="E276" s="2" t="str">
        <f>"男"</f>
        <v>男</v>
      </c>
    </row>
    <row r="277" spans="1:5" s="1" customFormat="1" ht="34.5" customHeight="1">
      <c r="A277" s="2">
        <v>275</v>
      </c>
      <c r="B277" s="2" t="str">
        <f>"35932021120821405466043"</f>
        <v>35932021120821405466043</v>
      </c>
      <c r="C277" s="2" t="s">
        <v>8</v>
      </c>
      <c r="D277" s="2" t="str">
        <f>"梁其才"</f>
        <v>梁其才</v>
      </c>
      <c r="E277" s="2" t="str">
        <f>"男"</f>
        <v>男</v>
      </c>
    </row>
    <row r="278" spans="1:5" s="1" customFormat="1" ht="34.5" customHeight="1">
      <c r="A278" s="2">
        <v>276</v>
      </c>
      <c r="B278" s="2" t="str">
        <f>"35932021120821443466045"</f>
        <v>35932021120821443466045</v>
      </c>
      <c r="C278" s="2" t="s">
        <v>8</v>
      </c>
      <c r="D278" s="2" t="str">
        <f>"郑雅堃"</f>
        <v>郑雅堃</v>
      </c>
      <c r="E278" s="2" t="str">
        <f>"女"</f>
        <v>女</v>
      </c>
    </row>
    <row r="279" spans="1:5" s="1" customFormat="1" ht="34.5" customHeight="1">
      <c r="A279" s="2">
        <v>277</v>
      </c>
      <c r="B279" s="2" t="str">
        <f>"35932021120821475666051"</f>
        <v>35932021120821475666051</v>
      </c>
      <c r="C279" s="2" t="s">
        <v>8</v>
      </c>
      <c r="D279" s="2" t="str">
        <f>"方其园"</f>
        <v>方其园</v>
      </c>
      <c r="E279" s="2" t="str">
        <f>"女"</f>
        <v>女</v>
      </c>
    </row>
    <row r="280" spans="1:5" s="1" customFormat="1" ht="34.5" customHeight="1">
      <c r="A280" s="2">
        <v>278</v>
      </c>
      <c r="B280" s="2" t="str">
        <f>"35932021120822291766068"</f>
        <v>35932021120822291766068</v>
      </c>
      <c r="C280" s="2" t="s">
        <v>8</v>
      </c>
      <c r="D280" s="2" t="str">
        <f>"谢煌智"</f>
        <v>谢煌智</v>
      </c>
      <c r="E280" s="2" t="str">
        <f>"男"</f>
        <v>男</v>
      </c>
    </row>
    <row r="281" spans="1:5" s="1" customFormat="1" ht="34.5" customHeight="1">
      <c r="A281" s="2">
        <v>279</v>
      </c>
      <c r="B281" s="2" t="str">
        <f>"35932021120822385066075"</f>
        <v>35932021120822385066075</v>
      </c>
      <c r="C281" s="2" t="s">
        <v>8</v>
      </c>
      <c r="D281" s="2" t="str">
        <f>"符艺影"</f>
        <v>符艺影</v>
      </c>
      <c r="E281" s="2" t="str">
        <f>"女"</f>
        <v>女</v>
      </c>
    </row>
    <row r="282" spans="1:5" s="1" customFormat="1" ht="34.5" customHeight="1">
      <c r="A282" s="2">
        <v>280</v>
      </c>
      <c r="B282" s="2" t="str">
        <f>"35932021120822501466077"</f>
        <v>35932021120822501466077</v>
      </c>
      <c r="C282" s="2" t="s">
        <v>8</v>
      </c>
      <c r="D282" s="2" t="str">
        <f>"王泽铭"</f>
        <v>王泽铭</v>
      </c>
      <c r="E282" s="2" t="str">
        <f>"男"</f>
        <v>男</v>
      </c>
    </row>
    <row r="283" spans="1:5" s="1" customFormat="1" ht="34.5" customHeight="1">
      <c r="A283" s="2">
        <v>281</v>
      </c>
      <c r="B283" s="2" t="str">
        <f>"35932021120823003866081"</f>
        <v>35932021120823003866081</v>
      </c>
      <c r="C283" s="2" t="s">
        <v>8</v>
      </c>
      <c r="D283" s="2" t="str">
        <f>"潘朝叶"</f>
        <v>潘朝叶</v>
      </c>
      <c r="E283" s="2" t="str">
        <f>"女"</f>
        <v>女</v>
      </c>
    </row>
    <row r="284" spans="1:5" s="1" customFormat="1" ht="34.5" customHeight="1">
      <c r="A284" s="2">
        <v>282</v>
      </c>
      <c r="B284" s="2" t="str">
        <f>"35932021120823273466095"</f>
        <v>35932021120823273466095</v>
      </c>
      <c r="C284" s="2" t="s">
        <v>8</v>
      </c>
      <c r="D284" s="2" t="str">
        <f>"林师荣"</f>
        <v>林师荣</v>
      </c>
      <c r="E284" s="2" t="str">
        <f>"男"</f>
        <v>男</v>
      </c>
    </row>
    <row r="285" spans="1:5" s="1" customFormat="1" ht="34.5" customHeight="1">
      <c r="A285" s="2">
        <v>283</v>
      </c>
      <c r="B285" s="2" t="str">
        <f>"35932021120823355166096"</f>
        <v>35932021120823355166096</v>
      </c>
      <c r="C285" s="2" t="s">
        <v>8</v>
      </c>
      <c r="D285" s="2" t="str">
        <f>"邓雯尹"</f>
        <v>邓雯尹</v>
      </c>
      <c r="E285" s="2" t="str">
        <f>"男"</f>
        <v>男</v>
      </c>
    </row>
    <row r="286" spans="1:5" s="1" customFormat="1" ht="34.5" customHeight="1">
      <c r="A286" s="2">
        <v>284</v>
      </c>
      <c r="B286" s="2" t="str">
        <f>"35932021120908493866120"</f>
        <v>35932021120908493866120</v>
      </c>
      <c r="C286" s="2" t="s">
        <v>8</v>
      </c>
      <c r="D286" s="2" t="str">
        <f>"潘品"</f>
        <v>潘品</v>
      </c>
      <c r="E286" s="2" t="str">
        <f>"男"</f>
        <v>男</v>
      </c>
    </row>
    <row r="287" spans="1:5" s="1" customFormat="1" ht="34.5" customHeight="1">
      <c r="A287" s="2">
        <v>285</v>
      </c>
      <c r="B287" s="2" t="str">
        <f>"35932021120908524666121"</f>
        <v>35932021120908524666121</v>
      </c>
      <c r="C287" s="2" t="s">
        <v>8</v>
      </c>
      <c r="D287" s="2" t="str">
        <f>"蒙清华"</f>
        <v>蒙清华</v>
      </c>
      <c r="E287" s="2" t="str">
        <f>"女"</f>
        <v>女</v>
      </c>
    </row>
    <row r="288" spans="1:5" s="1" customFormat="1" ht="34.5" customHeight="1">
      <c r="A288" s="2">
        <v>286</v>
      </c>
      <c r="B288" s="2" t="str">
        <f>"35932021120908531866123"</f>
        <v>35932021120908531866123</v>
      </c>
      <c r="C288" s="2" t="s">
        <v>8</v>
      </c>
      <c r="D288" s="2" t="str">
        <f>"李选钰"</f>
        <v>李选钰</v>
      </c>
      <c r="E288" s="2" t="str">
        <f>"男"</f>
        <v>男</v>
      </c>
    </row>
    <row r="289" spans="1:5" s="1" customFormat="1" ht="34.5" customHeight="1">
      <c r="A289" s="2">
        <v>287</v>
      </c>
      <c r="B289" s="2" t="str">
        <f>"35932021120909074166134"</f>
        <v>35932021120909074166134</v>
      </c>
      <c r="C289" s="2" t="s">
        <v>8</v>
      </c>
      <c r="D289" s="2" t="str">
        <f>"陈平"</f>
        <v>陈平</v>
      </c>
      <c r="E289" s="2" t="str">
        <f>"男"</f>
        <v>男</v>
      </c>
    </row>
    <row r="290" spans="1:5" s="1" customFormat="1" ht="34.5" customHeight="1">
      <c r="A290" s="2">
        <v>288</v>
      </c>
      <c r="B290" s="2" t="str">
        <f>"35932021120909180566145"</f>
        <v>35932021120909180566145</v>
      </c>
      <c r="C290" s="2" t="s">
        <v>8</v>
      </c>
      <c r="D290" s="2" t="str">
        <f>"王劲杨"</f>
        <v>王劲杨</v>
      </c>
      <c r="E290" s="2" t="str">
        <f>"男"</f>
        <v>男</v>
      </c>
    </row>
    <row r="291" spans="1:5" s="1" customFormat="1" ht="34.5" customHeight="1">
      <c r="A291" s="2">
        <v>289</v>
      </c>
      <c r="B291" s="2" t="str">
        <f>"35932021120909185066146"</f>
        <v>35932021120909185066146</v>
      </c>
      <c r="C291" s="2" t="s">
        <v>8</v>
      </c>
      <c r="D291" s="2" t="str">
        <f>"唐秀丽"</f>
        <v>唐秀丽</v>
      </c>
      <c r="E291" s="2" t="str">
        <f>"女"</f>
        <v>女</v>
      </c>
    </row>
    <row r="292" spans="1:5" s="1" customFormat="1" ht="34.5" customHeight="1">
      <c r="A292" s="2">
        <v>290</v>
      </c>
      <c r="B292" s="2" t="str">
        <f>"35932021120909400966157"</f>
        <v>35932021120909400966157</v>
      </c>
      <c r="C292" s="2" t="s">
        <v>8</v>
      </c>
      <c r="D292" s="2" t="str">
        <f>"甘思源"</f>
        <v>甘思源</v>
      </c>
      <c r="E292" s="2" t="str">
        <f>"男"</f>
        <v>男</v>
      </c>
    </row>
    <row r="293" spans="1:5" s="1" customFormat="1" ht="34.5" customHeight="1">
      <c r="A293" s="2">
        <v>291</v>
      </c>
      <c r="B293" s="2" t="str">
        <f>"35932021120909420366162"</f>
        <v>35932021120909420366162</v>
      </c>
      <c r="C293" s="2" t="s">
        <v>8</v>
      </c>
      <c r="D293" s="2" t="str">
        <f>"林先达"</f>
        <v>林先达</v>
      </c>
      <c r="E293" s="2" t="str">
        <f>"男"</f>
        <v>男</v>
      </c>
    </row>
    <row r="294" spans="1:5" s="1" customFormat="1" ht="34.5" customHeight="1">
      <c r="A294" s="2">
        <v>292</v>
      </c>
      <c r="B294" s="2" t="str">
        <f>"35932021120909483966167"</f>
        <v>35932021120909483966167</v>
      </c>
      <c r="C294" s="2" t="s">
        <v>8</v>
      </c>
      <c r="D294" s="2" t="str">
        <f>"陈太雅"</f>
        <v>陈太雅</v>
      </c>
      <c r="E294" s="2" t="str">
        <f>"女"</f>
        <v>女</v>
      </c>
    </row>
    <row r="295" spans="1:5" s="1" customFormat="1" ht="34.5" customHeight="1">
      <c r="A295" s="2">
        <v>293</v>
      </c>
      <c r="B295" s="2" t="str">
        <f>"35932021120909494566168"</f>
        <v>35932021120909494566168</v>
      </c>
      <c r="C295" s="2" t="s">
        <v>8</v>
      </c>
      <c r="D295" s="2" t="str">
        <f>"陈辉"</f>
        <v>陈辉</v>
      </c>
      <c r="E295" s="2" t="str">
        <f>"男"</f>
        <v>男</v>
      </c>
    </row>
    <row r="296" spans="1:5" s="1" customFormat="1" ht="34.5" customHeight="1">
      <c r="A296" s="2">
        <v>294</v>
      </c>
      <c r="B296" s="2" t="str">
        <f>"35932021120909540666172"</f>
        <v>35932021120909540666172</v>
      </c>
      <c r="C296" s="2" t="s">
        <v>8</v>
      </c>
      <c r="D296" s="2" t="str">
        <f>"吴清柏"</f>
        <v>吴清柏</v>
      </c>
      <c r="E296" s="2" t="str">
        <f>"男"</f>
        <v>男</v>
      </c>
    </row>
    <row r="297" spans="1:5" s="1" customFormat="1" ht="34.5" customHeight="1">
      <c r="A297" s="2">
        <v>295</v>
      </c>
      <c r="B297" s="2" t="str">
        <f>"35932021120910583766206"</f>
        <v>35932021120910583766206</v>
      </c>
      <c r="C297" s="2" t="s">
        <v>8</v>
      </c>
      <c r="D297" s="2" t="str">
        <f>"李旭"</f>
        <v>李旭</v>
      </c>
      <c r="E297" s="2" t="str">
        <f>"男"</f>
        <v>男</v>
      </c>
    </row>
    <row r="298" spans="1:5" s="1" customFormat="1" ht="34.5" customHeight="1">
      <c r="A298" s="2">
        <v>296</v>
      </c>
      <c r="B298" s="2" t="str">
        <f>"35932021120911065966210"</f>
        <v>35932021120911065966210</v>
      </c>
      <c r="C298" s="2" t="s">
        <v>8</v>
      </c>
      <c r="D298" s="2" t="str">
        <f>"巫康康"</f>
        <v>巫康康</v>
      </c>
      <c r="E298" s="2" t="str">
        <f>"男"</f>
        <v>男</v>
      </c>
    </row>
    <row r="299" spans="1:5" s="1" customFormat="1" ht="34.5" customHeight="1">
      <c r="A299" s="2">
        <v>297</v>
      </c>
      <c r="B299" s="2" t="str">
        <f>"35932021120911070366211"</f>
        <v>35932021120911070366211</v>
      </c>
      <c r="C299" s="2" t="s">
        <v>8</v>
      </c>
      <c r="D299" s="2" t="str">
        <f>"周玉芳"</f>
        <v>周玉芳</v>
      </c>
      <c r="E299" s="2" t="str">
        <f>"女"</f>
        <v>女</v>
      </c>
    </row>
    <row r="300" spans="1:5" s="1" customFormat="1" ht="34.5" customHeight="1">
      <c r="A300" s="2">
        <v>298</v>
      </c>
      <c r="B300" s="2" t="str">
        <f>"35932021120911071266212"</f>
        <v>35932021120911071266212</v>
      </c>
      <c r="C300" s="2" t="s">
        <v>8</v>
      </c>
      <c r="D300" s="2" t="str">
        <f>"黄金勇"</f>
        <v>黄金勇</v>
      </c>
      <c r="E300" s="2" t="str">
        <f>"男"</f>
        <v>男</v>
      </c>
    </row>
    <row r="301" spans="1:5" s="1" customFormat="1" ht="34.5" customHeight="1">
      <c r="A301" s="2">
        <v>299</v>
      </c>
      <c r="B301" s="2" t="str">
        <f>"35932021120911290866223"</f>
        <v>35932021120911290866223</v>
      </c>
      <c r="C301" s="2" t="s">
        <v>8</v>
      </c>
      <c r="D301" s="2" t="str">
        <f>"邱前"</f>
        <v>邱前</v>
      </c>
      <c r="E301" s="2" t="str">
        <f>"男"</f>
        <v>男</v>
      </c>
    </row>
    <row r="302" spans="1:5" s="1" customFormat="1" ht="34.5" customHeight="1">
      <c r="A302" s="2">
        <v>300</v>
      </c>
      <c r="B302" s="2" t="str">
        <f>"35932021120911573766237"</f>
        <v>35932021120911573766237</v>
      </c>
      <c r="C302" s="2" t="s">
        <v>8</v>
      </c>
      <c r="D302" s="2" t="str">
        <f>"郑孟浩"</f>
        <v>郑孟浩</v>
      </c>
      <c r="E302" s="2" t="str">
        <f>"男"</f>
        <v>男</v>
      </c>
    </row>
    <row r="303" spans="1:5" s="1" customFormat="1" ht="34.5" customHeight="1">
      <c r="A303" s="2">
        <v>301</v>
      </c>
      <c r="B303" s="2" t="str">
        <f>"35932021120912235466245"</f>
        <v>35932021120912235466245</v>
      </c>
      <c r="C303" s="2" t="s">
        <v>8</v>
      </c>
      <c r="D303" s="2" t="str">
        <f>"吴宏运"</f>
        <v>吴宏运</v>
      </c>
      <c r="E303" s="2" t="str">
        <f>"男"</f>
        <v>男</v>
      </c>
    </row>
    <row r="304" spans="1:5" s="1" customFormat="1" ht="34.5" customHeight="1">
      <c r="A304" s="2">
        <v>302</v>
      </c>
      <c r="B304" s="2" t="str">
        <f>"35932021120914300866285"</f>
        <v>35932021120914300866285</v>
      </c>
      <c r="C304" s="2" t="s">
        <v>8</v>
      </c>
      <c r="D304" s="2" t="str">
        <f>"郑小佳"</f>
        <v>郑小佳</v>
      </c>
      <c r="E304" s="2" t="str">
        <f>"女"</f>
        <v>女</v>
      </c>
    </row>
    <row r="305" spans="1:5" s="1" customFormat="1" ht="34.5" customHeight="1">
      <c r="A305" s="2">
        <v>303</v>
      </c>
      <c r="B305" s="2" t="str">
        <f>"35932021120914352166289"</f>
        <v>35932021120914352166289</v>
      </c>
      <c r="C305" s="2" t="s">
        <v>8</v>
      </c>
      <c r="D305" s="2" t="str">
        <f>"吴海强"</f>
        <v>吴海强</v>
      </c>
      <c r="E305" s="2" t="str">
        <f>"女"</f>
        <v>女</v>
      </c>
    </row>
    <row r="306" spans="1:5" s="1" customFormat="1" ht="34.5" customHeight="1">
      <c r="A306" s="2">
        <v>304</v>
      </c>
      <c r="B306" s="2" t="str">
        <f>"35932021120915104066304"</f>
        <v>35932021120915104066304</v>
      </c>
      <c r="C306" s="2" t="s">
        <v>8</v>
      </c>
      <c r="D306" s="2" t="str">
        <f>"吴伦博"</f>
        <v>吴伦博</v>
      </c>
      <c r="E306" s="2" t="str">
        <f>"男"</f>
        <v>男</v>
      </c>
    </row>
    <row r="307" spans="1:5" s="1" customFormat="1" ht="34.5" customHeight="1">
      <c r="A307" s="2">
        <v>305</v>
      </c>
      <c r="B307" s="2" t="str">
        <f>"35932021120915444766325"</f>
        <v>35932021120915444766325</v>
      </c>
      <c r="C307" s="2" t="s">
        <v>8</v>
      </c>
      <c r="D307" s="2" t="str">
        <f>"严子葳"</f>
        <v>严子葳</v>
      </c>
      <c r="E307" s="2" t="str">
        <f>"女"</f>
        <v>女</v>
      </c>
    </row>
    <row r="308" spans="1:5" s="1" customFormat="1" ht="34.5" customHeight="1">
      <c r="A308" s="2">
        <v>306</v>
      </c>
      <c r="B308" s="2" t="str">
        <f>"35932021120916095166343"</f>
        <v>35932021120916095166343</v>
      </c>
      <c r="C308" s="2" t="s">
        <v>8</v>
      </c>
      <c r="D308" s="2" t="str">
        <f>"陈俊屹"</f>
        <v>陈俊屹</v>
      </c>
      <c r="E308" s="2" t="str">
        <f>"男"</f>
        <v>男</v>
      </c>
    </row>
    <row r="309" spans="1:5" s="1" customFormat="1" ht="34.5" customHeight="1">
      <c r="A309" s="2">
        <v>307</v>
      </c>
      <c r="B309" s="2" t="str">
        <f>"35932021120916115666345"</f>
        <v>35932021120916115666345</v>
      </c>
      <c r="C309" s="2" t="s">
        <v>8</v>
      </c>
      <c r="D309" s="2" t="str">
        <f>"黄宏雅"</f>
        <v>黄宏雅</v>
      </c>
      <c r="E309" s="2" t="str">
        <f>"女"</f>
        <v>女</v>
      </c>
    </row>
    <row r="310" spans="1:5" s="1" customFormat="1" ht="34.5" customHeight="1">
      <c r="A310" s="2">
        <v>308</v>
      </c>
      <c r="B310" s="2" t="str">
        <f>"35932021120916344666360"</f>
        <v>35932021120916344666360</v>
      </c>
      <c r="C310" s="2" t="s">
        <v>8</v>
      </c>
      <c r="D310" s="2" t="str">
        <f>"赵泽悦"</f>
        <v>赵泽悦</v>
      </c>
      <c r="E310" s="2" t="str">
        <f>"男"</f>
        <v>男</v>
      </c>
    </row>
    <row r="311" spans="1:5" s="1" customFormat="1" ht="34.5" customHeight="1">
      <c r="A311" s="2">
        <v>309</v>
      </c>
      <c r="B311" s="2" t="str">
        <f>"35932021120916402366364"</f>
        <v>35932021120916402366364</v>
      </c>
      <c r="C311" s="2" t="s">
        <v>8</v>
      </c>
      <c r="D311" s="2" t="str">
        <f>"李正超"</f>
        <v>李正超</v>
      </c>
      <c r="E311" s="2" t="str">
        <f>"男"</f>
        <v>男</v>
      </c>
    </row>
    <row r="312" spans="1:5" s="1" customFormat="1" ht="34.5" customHeight="1">
      <c r="A312" s="2">
        <v>310</v>
      </c>
      <c r="B312" s="2" t="str">
        <f>"35932021120916525766370"</f>
        <v>35932021120916525766370</v>
      </c>
      <c r="C312" s="2" t="s">
        <v>8</v>
      </c>
      <c r="D312" s="2" t="str">
        <f>"符育超"</f>
        <v>符育超</v>
      </c>
      <c r="E312" s="2" t="str">
        <f>"男"</f>
        <v>男</v>
      </c>
    </row>
    <row r="313" spans="1:5" s="1" customFormat="1" ht="34.5" customHeight="1">
      <c r="A313" s="2">
        <v>311</v>
      </c>
      <c r="B313" s="2" t="str">
        <f>"35932021120918012566395"</f>
        <v>35932021120918012566395</v>
      </c>
      <c r="C313" s="2" t="s">
        <v>8</v>
      </c>
      <c r="D313" s="2" t="str">
        <f>"古智培"</f>
        <v>古智培</v>
      </c>
      <c r="E313" s="2" t="str">
        <f>"男"</f>
        <v>男</v>
      </c>
    </row>
    <row r="314" spans="1:5" s="1" customFormat="1" ht="34.5" customHeight="1">
      <c r="A314" s="2">
        <v>312</v>
      </c>
      <c r="B314" s="2" t="str">
        <f>"35932021120918120266398"</f>
        <v>35932021120918120266398</v>
      </c>
      <c r="C314" s="2" t="s">
        <v>8</v>
      </c>
      <c r="D314" s="2" t="str">
        <f>"吴心心"</f>
        <v>吴心心</v>
      </c>
      <c r="E314" s="2" t="str">
        <f>"男"</f>
        <v>男</v>
      </c>
    </row>
    <row r="315" spans="1:5" s="1" customFormat="1" ht="34.5" customHeight="1">
      <c r="A315" s="2">
        <v>313</v>
      </c>
      <c r="B315" s="2" t="str">
        <f>"35932021120920092966426"</f>
        <v>35932021120920092966426</v>
      </c>
      <c r="C315" s="2" t="s">
        <v>8</v>
      </c>
      <c r="D315" s="2" t="str">
        <f>"符莹"</f>
        <v>符莹</v>
      </c>
      <c r="E315" s="2" t="str">
        <f>"女"</f>
        <v>女</v>
      </c>
    </row>
    <row r="316" spans="1:5" s="1" customFormat="1" ht="34.5" customHeight="1">
      <c r="A316" s="2">
        <v>314</v>
      </c>
      <c r="B316" s="2" t="str">
        <f>"35932021120920361166438"</f>
        <v>35932021120920361166438</v>
      </c>
      <c r="C316" s="2" t="s">
        <v>8</v>
      </c>
      <c r="D316" s="2" t="str">
        <f>"刘丕源"</f>
        <v>刘丕源</v>
      </c>
      <c r="E316" s="2" t="str">
        <f aca="true" t="shared" si="6" ref="E316:E321">"男"</f>
        <v>男</v>
      </c>
    </row>
    <row r="317" spans="1:5" s="1" customFormat="1" ht="34.5" customHeight="1">
      <c r="A317" s="2">
        <v>315</v>
      </c>
      <c r="B317" s="2" t="str">
        <f>"35932021120921054466448"</f>
        <v>35932021120921054466448</v>
      </c>
      <c r="C317" s="2" t="s">
        <v>8</v>
      </c>
      <c r="D317" s="2" t="str">
        <f>"符芳维"</f>
        <v>符芳维</v>
      </c>
      <c r="E317" s="2" t="str">
        <f t="shared" si="6"/>
        <v>男</v>
      </c>
    </row>
    <row r="318" spans="1:5" s="1" customFormat="1" ht="34.5" customHeight="1">
      <c r="A318" s="2">
        <v>316</v>
      </c>
      <c r="B318" s="2" t="str">
        <f>"35932021120921102866450"</f>
        <v>35932021120921102866450</v>
      </c>
      <c r="C318" s="2" t="s">
        <v>8</v>
      </c>
      <c r="D318" s="2" t="str">
        <f>"杨昌为"</f>
        <v>杨昌为</v>
      </c>
      <c r="E318" s="2" t="str">
        <f t="shared" si="6"/>
        <v>男</v>
      </c>
    </row>
    <row r="319" spans="1:5" s="1" customFormat="1" ht="34.5" customHeight="1">
      <c r="A319" s="2">
        <v>317</v>
      </c>
      <c r="B319" s="2" t="str">
        <f>"35932021120921532266466"</f>
        <v>35932021120921532266466</v>
      </c>
      <c r="C319" s="2" t="s">
        <v>8</v>
      </c>
      <c r="D319" s="2" t="str">
        <f>"郑童遥"</f>
        <v>郑童遥</v>
      </c>
      <c r="E319" s="2" t="str">
        <f t="shared" si="6"/>
        <v>男</v>
      </c>
    </row>
    <row r="320" spans="1:5" s="1" customFormat="1" ht="34.5" customHeight="1">
      <c r="A320" s="2">
        <v>318</v>
      </c>
      <c r="B320" s="2" t="str">
        <f>"35932021120923373966484"</f>
        <v>35932021120923373966484</v>
      </c>
      <c r="C320" s="2" t="s">
        <v>8</v>
      </c>
      <c r="D320" s="2" t="str">
        <f>"赖树辉"</f>
        <v>赖树辉</v>
      </c>
      <c r="E320" s="2" t="str">
        <f t="shared" si="6"/>
        <v>男</v>
      </c>
    </row>
    <row r="321" spans="1:5" s="1" customFormat="1" ht="34.5" customHeight="1">
      <c r="A321" s="2">
        <v>319</v>
      </c>
      <c r="B321" s="2" t="str">
        <f>"35932021120923592166489"</f>
        <v>35932021120923592166489</v>
      </c>
      <c r="C321" s="2" t="s">
        <v>8</v>
      </c>
      <c r="D321" s="2" t="str">
        <f>"王昭鹏"</f>
        <v>王昭鹏</v>
      </c>
      <c r="E321" s="2" t="str">
        <f t="shared" si="6"/>
        <v>男</v>
      </c>
    </row>
    <row r="322" spans="1:5" s="1" customFormat="1" ht="34.5" customHeight="1">
      <c r="A322" s="2">
        <v>320</v>
      </c>
      <c r="B322" s="2" t="str">
        <f>"35932021121010400066537"</f>
        <v>35932021121010400066537</v>
      </c>
      <c r="C322" s="2" t="s">
        <v>8</v>
      </c>
      <c r="D322" s="2" t="str">
        <f>"蔡丹洁"</f>
        <v>蔡丹洁</v>
      </c>
      <c r="E322" s="2" t="str">
        <f>"女"</f>
        <v>女</v>
      </c>
    </row>
    <row r="323" spans="1:5" s="1" customFormat="1" ht="34.5" customHeight="1">
      <c r="A323" s="2">
        <v>321</v>
      </c>
      <c r="B323" s="2" t="str">
        <f>"35932021121011070266558"</f>
        <v>35932021121011070266558</v>
      </c>
      <c r="C323" s="2" t="s">
        <v>8</v>
      </c>
      <c r="D323" s="2" t="str">
        <f>"杨泽宽"</f>
        <v>杨泽宽</v>
      </c>
      <c r="E323" s="2" t="str">
        <f>"男"</f>
        <v>男</v>
      </c>
    </row>
    <row r="324" spans="1:5" s="1" customFormat="1" ht="34.5" customHeight="1">
      <c r="A324" s="2">
        <v>322</v>
      </c>
      <c r="B324" s="2" t="str">
        <f>"35932021121011212866565"</f>
        <v>35932021121011212866565</v>
      </c>
      <c r="C324" s="2" t="s">
        <v>8</v>
      </c>
      <c r="D324" s="2" t="str">
        <f>"文凤静"</f>
        <v>文凤静</v>
      </c>
      <c r="E324" s="2" t="str">
        <f>"女"</f>
        <v>女</v>
      </c>
    </row>
    <row r="325" spans="1:5" s="1" customFormat="1" ht="34.5" customHeight="1">
      <c r="A325" s="2">
        <v>323</v>
      </c>
      <c r="B325" s="2" t="str">
        <f>"35932021121011540466572"</f>
        <v>35932021121011540466572</v>
      </c>
      <c r="C325" s="2" t="s">
        <v>8</v>
      </c>
      <c r="D325" s="2" t="str">
        <f>"谢学高"</f>
        <v>谢学高</v>
      </c>
      <c r="E325" s="2" t="str">
        <f>"男"</f>
        <v>男</v>
      </c>
    </row>
    <row r="326" spans="1:5" s="1" customFormat="1" ht="34.5" customHeight="1">
      <c r="A326" s="2">
        <v>324</v>
      </c>
      <c r="B326" s="2" t="str">
        <f>"35932021121013012366592"</f>
        <v>35932021121013012366592</v>
      </c>
      <c r="C326" s="2" t="s">
        <v>8</v>
      </c>
      <c r="D326" s="2" t="str">
        <f>"李才峰"</f>
        <v>李才峰</v>
      </c>
      <c r="E326" s="2" t="str">
        <f>"男"</f>
        <v>男</v>
      </c>
    </row>
    <row r="327" spans="1:5" s="1" customFormat="1" ht="34.5" customHeight="1">
      <c r="A327" s="2">
        <v>325</v>
      </c>
      <c r="B327" s="2" t="str">
        <f>"35932021121014471566613"</f>
        <v>35932021121014471566613</v>
      </c>
      <c r="C327" s="2" t="s">
        <v>8</v>
      </c>
      <c r="D327" s="2" t="str">
        <f>"王小燕"</f>
        <v>王小燕</v>
      </c>
      <c r="E327" s="2" t="str">
        <f>"女"</f>
        <v>女</v>
      </c>
    </row>
    <row r="328" spans="1:5" s="1" customFormat="1" ht="34.5" customHeight="1">
      <c r="A328" s="2">
        <v>326</v>
      </c>
      <c r="B328" s="2" t="str">
        <f>"35932021121014562566617"</f>
        <v>35932021121014562566617</v>
      </c>
      <c r="C328" s="2" t="s">
        <v>8</v>
      </c>
      <c r="D328" s="2" t="str">
        <f>"姜懿湘"</f>
        <v>姜懿湘</v>
      </c>
      <c r="E328" s="2" t="str">
        <f>"女"</f>
        <v>女</v>
      </c>
    </row>
    <row r="329" spans="1:5" s="1" customFormat="1" ht="34.5" customHeight="1">
      <c r="A329" s="2">
        <v>327</v>
      </c>
      <c r="B329" s="2" t="str">
        <f>"35932021121015062266619"</f>
        <v>35932021121015062266619</v>
      </c>
      <c r="C329" s="2" t="s">
        <v>8</v>
      </c>
      <c r="D329" s="2" t="str">
        <f>"王英任"</f>
        <v>王英任</v>
      </c>
      <c r="E329" s="2" t="str">
        <f>"男"</f>
        <v>男</v>
      </c>
    </row>
    <row r="330" spans="1:5" s="1" customFormat="1" ht="34.5" customHeight="1">
      <c r="A330" s="2">
        <v>328</v>
      </c>
      <c r="B330" s="2" t="str">
        <f>"35932021121015224066626"</f>
        <v>35932021121015224066626</v>
      </c>
      <c r="C330" s="2" t="s">
        <v>8</v>
      </c>
      <c r="D330" s="2" t="str">
        <f>"陈教诚"</f>
        <v>陈教诚</v>
      </c>
      <c r="E330" s="2" t="str">
        <f>"男"</f>
        <v>男</v>
      </c>
    </row>
    <row r="331" spans="1:5" s="1" customFormat="1" ht="34.5" customHeight="1">
      <c r="A331" s="2">
        <v>329</v>
      </c>
      <c r="B331" s="2" t="str">
        <f>"35932021121016444966652"</f>
        <v>35932021121016444966652</v>
      </c>
      <c r="C331" s="2" t="s">
        <v>8</v>
      </c>
      <c r="D331" s="2" t="str">
        <f>"吴海源"</f>
        <v>吴海源</v>
      </c>
      <c r="E331" s="2" t="str">
        <f>"女"</f>
        <v>女</v>
      </c>
    </row>
    <row r="332" spans="1:5" s="1" customFormat="1" ht="34.5" customHeight="1">
      <c r="A332" s="2">
        <v>330</v>
      </c>
      <c r="B332" s="2" t="str">
        <f>"35932021121019163566691"</f>
        <v>35932021121019163566691</v>
      </c>
      <c r="C332" s="2" t="s">
        <v>8</v>
      </c>
      <c r="D332" s="2" t="str">
        <f>"邢孔珠"</f>
        <v>邢孔珠</v>
      </c>
      <c r="E332" s="2" t="str">
        <f>"女"</f>
        <v>女</v>
      </c>
    </row>
    <row r="333" spans="1:5" s="1" customFormat="1" ht="34.5" customHeight="1">
      <c r="A333" s="2">
        <v>331</v>
      </c>
      <c r="B333" s="2" t="str">
        <f>"35932021121020313266702"</f>
        <v>35932021121020313266702</v>
      </c>
      <c r="C333" s="2" t="s">
        <v>8</v>
      </c>
      <c r="D333" s="2" t="str">
        <f>"王欣"</f>
        <v>王欣</v>
      </c>
      <c r="E333" s="2" t="str">
        <f>"女"</f>
        <v>女</v>
      </c>
    </row>
    <row r="334" spans="1:5" s="1" customFormat="1" ht="34.5" customHeight="1">
      <c r="A334" s="2">
        <v>332</v>
      </c>
      <c r="B334" s="2" t="str">
        <f>"35932021121020533766708"</f>
        <v>35932021121020533766708</v>
      </c>
      <c r="C334" s="2" t="s">
        <v>8</v>
      </c>
      <c r="D334" s="2" t="str">
        <f>"李香"</f>
        <v>李香</v>
      </c>
      <c r="E334" s="2" t="str">
        <f>"女"</f>
        <v>女</v>
      </c>
    </row>
    <row r="335" spans="1:5" s="1" customFormat="1" ht="34.5" customHeight="1">
      <c r="A335" s="2">
        <v>333</v>
      </c>
      <c r="B335" s="2" t="str">
        <f>"35932021121021315766716"</f>
        <v>35932021121021315766716</v>
      </c>
      <c r="C335" s="2" t="s">
        <v>8</v>
      </c>
      <c r="D335" s="2" t="str">
        <f>"陈琳"</f>
        <v>陈琳</v>
      </c>
      <c r="E335" s="2" t="str">
        <f>"女"</f>
        <v>女</v>
      </c>
    </row>
    <row r="336" spans="1:5" s="1" customFormat="1" ht="34.5" customHeight="1">
      <c r="A336" s="2">
        <v>334</v>
      </c>
      <c r="B336" s="2" t="str">
        <f>"35932021121022040066721"</f>
        <v>35932021121022040066721</v>
      </c>
      <c r="C336" s="2" t="s">
        <v>8</v>
      </c>
      <c r="D336" s="2" t="str">
        <f>"李诗元"</f>
        <v>李诗元</v>
      </c>
      <c r="E336" s="2" t="str">
        <f>"男"</f>
        <v>男</v>
      </c>
    </row>
    <row r="337" spans="1:5" s="1" customFormat="1" ht="34.5" customHeight="1">
      <c r="A337" s="2">
        <v>335</v>
      </c>
      <c r="B337" s="2" t="str">
        <f>"35932021121022105766722"</f>
        <v>35932021121022105766722</v>
      </c>
      <c r="C337" s="2" t="s">
        <v>8</v>
      </c>
      <c r="D337" s="2" t="str">
        <f>"雷家杨"</f>
        <v>雷家杨</v>
      </c>
      <c r="E337" s="2" t="str">
        <f>"男"</f>
        <v>男</v>
      </c>
    </row>
    <row r="338" spans="1:5" s="1" customFormat="1" ht="34.5" customHeight="1">
      <c r="A338" s="2">
        <v>336</v>
      </c>
      <c r="B338" s="2" t="str">
        <f>"35932021121022482066731"</f>
        <v>35932021121022482066731</v>
      </c>
      <c r="C338" s="2" t="s">
        <v>8</v>
      </c>
      <c r="D338" s="2" t="str">
        <f>"邢腾云"</f>
        <v>邢腾云</v>
      </c>
      <c r="E338" s="2" t="str">
        <f>"女"</f>
        <v>女</v>
      </c>
    </row>
    <row r="339" spans="1:5" s="1" customFormat="1" ht="34.5" customHeight="1">
      <c r="A339" s="2">
        <v>337</v>
      </c>
      <c r="B339" s="2" t="str">
        <f>"35932021121109502566747"</f>
        <v>35932021121109502566747</v>
      </c>
      <c r="C339" s="2" t="s">
        <v>8</v>
      </c>
      <c r="D339" s="2" t="str">
        <f>"余明叶"</f>
        <v>余明叶</v>
      </c>
      <c r="E339" s="2" t="str">
        <f>"女"</f>
        <v>女</v>
      </c>
    </row>
    <row r="340" spans="1:5" s="1" customFormat="1" ht="34.5" customHeight="1">
      <c r="A340" s="2">
        <v>338</v>
      </c>
      <c r="B340" s="2" t="str">
        <f>"35932021121111130966760"</f>
        <v>35932021121111130966760</v>
      </c>
      <c r="C340" s="2" t="s">
        <v>8</v>
      </c>
      <c r="D340" s="2" t="str">
        <f>"黎克书 "</f>
        <v>黎克书 </v>
      </c>
      <c r="E340" s="2" t="str">
        <f aca="true" t="shared" si="7" ref="E340:E352">"男"</f>
        <v>男</v>
      </c>
    </row>
    <row r="341" spans="1:5" s="1" customFormat="1" ht="34.5" customHeight="1">
      <c r="A341" s="2">
        <v>339</v>
      </c>
      <c r="B341" s="2" t="str">
        <f>"35932021121111231566763"</f>
        <v>35932021121111231566763</v>
      </c>
      <c r="C341" s="2" t="s">
        <v>8</v>
      </c>
      <c r="D341" s="2" t="str">
        <f>"黄隆宇"</f>
        <v>黄隆宇</v>
      </c>
      <c r="E341" s="2" t="str">
        <f t="shared" si="7"/>
        <v>男</v>
      </c>
    </row>
    <row r="342" spans="1:5" s="1" customFormat="1" ht="34.5" customHeight="1">
      <c r="A342" s="2">
        <v>340</v>
      </c>
      <c r="B342" s="2" t="str">
        <f>"35932021121112335566772"</f>
        <v>35932021121112335566772</v>
      </c>
      <c r="C342" s="2" t="s">
        <v>8</v>
      </c>
      <c r="D342" s="2" t="str">
        <f>"苏泽铨"</f>
        <v>苏泽铨</v>
      </c>
      <c r="E342" s="2" t="str">
        <f t="shared" si="7"/>
        <v>男</v>
      </c>
    </row>
    <row r="343" spans="1:5" s="1" customFormat="1" ht="34.5" customHeight="1">
      <c r="A343" s="2">
        <v>341</v>
      </c>
      <c r="B343" s="2" t="str">
        <f>"35932021121112432566774"</f>
        <v>35932021121112432566774</v>
      </c>
      <c r="C343" s="2" t="s">
        <v>8</v>
      </c>
      <c r="D343" s="2" t="str">
        <f>"云永武"</f>
        <v>云永武</v>
      </c>
      <c r="E343" s="2" t="str">
        <f t="shared" si="7"/>
        <v>男</v>
      </c>
    </row>
    <row r="344" spans="1:5" s="1" customFormat="1" ht="34.5" customHeight="1">
      <c r="A344" s="2">
        <v>342</v>
      </c>
      <c r="B344" s="2" t="str">
        <f>"35932021121113463266784"</f>
        <v>35932021121113463266784</v>
      </c>
      <c r="C344" s="2" t="s">
        <v>8</v>
      </c>
      <c r="D344" s="2" t="str">
        <f>"韦迪健"</f>
        <v>韦迪健</v>
      </c>
      <c r="E344" s="2" t="str">
        <f t="shared" si="7"/>
        <v>男</v>
      </c>
    </row>
    <row r="345" spans="1:5" s="1" customFormat="1" ht="34.5" customHeight="1">
      <c r="A345" s="2">
        <v>343</v>
      </c>
      <c r="B345" s="2" t="str">
        <f>"35932021121115095566793"</f>
        <v>35932021121115095566793</v>
      </c>
      <c r="C345" s="2" t="s">
        <v>8</v>
      </c>
      <c r="D345" s="2" t="str">
        <f>"阮子洋"</f>
        <v>阮子洋</v>
      </c>
      <c r="E345" s="2" t="str">
        <f t="shared" si="7"/>
        <v>男</v>
      </c>
    </row>
    <row r="346" spans="1:5" s="1" customFormat="1" ht="34.5" customHeight="1">
      <c r="A346" s="2">
        <v>344</v>
      </c>
      <c r="B346" s="2" t="str">
        <f>"35932021121117512966822"</f>
        <v>35932021121117512966822</v>
      </c>
      <c r="C346" s="2" t="s">
        <v>8</v>
      </c>
      <c r="D346" s="2" t="str">
        <f>"龚嘉鑫"</f>
        <v>龚嘉鑫</v>
      </c>
      <c r="E346" s="2" t="str">
        <f t="shared" si="7"/>
        <v>男</v>
      </c>
    </row>
    <row r="347" spans="1:5" s="1" customFormat="1" ht="34.5" customHeight="1">
      <c r="A347" s="2">
        <v>345</v>
      </c>
      <c r="B347" s="2" t="str">
        <f>"35932021121121213766855"</f>
        <v>35932021121121213766855</v>
      </c>
      <c r="C347" s="2" t="s">
        <v>8</v>
      </c>
      <c r="D347" s="2" t="str">
        <f>"陈远杰"</f>
        <v>陈远杰</v>
      </c>
      <c r="E347" s="2" t="str">
        <f t="shared" si="7"/>
        <v>男</v>
      </c>
    </row>
    <row r="348" spans="1:5" s="1" customFormat="1" ht="34.5" customHeight="1">
      <c r="A348" s="2">
        <v>346</v>
      </c>
      <c r="B348" s="2" t="str">
        <f>"35932021121121383266859"</f>
        <v>35932021121121383266859</v>
      </c>
      <c r="C348" s="2" t="s">
        <v>8</v>
      </c>
      <c r="D348" s="2" t="str">
        <f>"杨来浩"</f>
        <v>杨来浩</v>
      </c>
      <c r="E348" s="2" t="str">
        <f t="shared" si="7"/>
        <v>男</v>
      </c>
    </row>
    <row r="349" spans="1:5" s="1" customFormat="1" ht="34.5" customHeight="1">
      <c r="A349" s="2">
        <v>347</v>
      </c>
      <c r="B349" s="2" t="str">
        <f>"35932021121122040166867"</f>
        <v>35932021121122040166867</v>
      </c>
      <c r="C349" s="2" t="s">
        <v>8</v>
      </c>
      <c r="D349" s="2" t="str">
        <f>"郑俊源"</f>
        <v>郑俊源</v>
      </c>
      <c r="E349" s="2" t="str">
        <f t="shared" si="7"/>
        <v>男</v>
      </c>
    </row>
    <row r="350" spans="1:5" s="1" customFormat="1" ht="34.5" customHeight="1">
      <c r="A350" s="2">
        <v>348</v>
      </c>
      <c r="B350" s="2" t="str">
        <f>"35932021121122513266875"</f>
        <v>35932021121122513266875</v>
      </c>
      <c r="C350" s="2" t="s">
        <v>8</v>
      </c>
      <c r="D350" s="2" t="str">
        <f>"容健霖"</f>
        <v>容健霖</v>
      </c>
      <c r="E350" s="2" t="str">
        <f t="shared" si="7"/>
        <v>男</v>
      </c>
    </row>
    <row r="351" spans="1:5" s="1" customFormat="1" ht="34.5" customHeight="1">
      <c r="A351" s="2">
        <v>349</v>
      </c>
      <c r="B351" s="2" t="str">
        <f>"35932021121209253166889"</f>
        <v>35932021121209253166889</v>
      </c>
      <c r="C351" s="2" t="s">
        <v>8</v>
      </c>
      <c r="D351" s="2" t="str">
        <f>"张凇瑜"</f>
        <v>张凇瑜</v>
      </c>
      <c r="E351" s="2" t="str">
        <f t="shared" si="7"/>
        <v>男</v>
      </c>
    </row>
    <row r="352" spans="1:5" s="1" customFormat="1" ht="34.5" customHeight="1">
      <c r="A352" s="2">
        <v>350</v>
      </c>
      <c r="B352" s="2" t="str">
        <f>"35932021121210254466896"</f>
        <v>35932021121210254466896</v>
      </c>
      <c r="C352" s="2" t="s">
        <v>8</v>
      </c>
      <c r="D352" s="2" t="str">
        <f>"陈乐"</f>
        <v>陈乐</v>
      </c>
      <c r="E352" s="2" t="str">
        <f t="shared" si="7"/>
        <v>男</v>
      </c>
    </row>
    <row r="353" spans="1:5" s="1" customFormat="1" ht="34.5" customHeight="1">
      <c r="A353" s="2">
        <v>351</v>
      </c>
      <c r="B353" s="2" t="str">
        <f>"35932021121210592966906"</f>
        <v>35932021121210592966906</v>
      </c>
      <c r="C353" s="2" t="s">
        <v>8</v>
      </c>
      <c r="D353" s="2" t="str">
        <f>"李佳嵘"</f>
        <v>李佳嵘</v>
      </c>
      <c r="E353" s="2" t="str">
        <f>"女"</f>
        <v>女</v>
      </c>
    </row>
    <row r="354" spans="1:5" s="1" customFormat="1" ht="34.5" customHeight="1">
      <c r="A354" s="2">
        <v>352</v>
      </c>
      <c r="B354" s="2" t="str">
        <f>"35932021121211445466916"</f>
        <v>35932021121211445466916</v>
      </c>
      <c r="C354" s="2" t="s">
        <v>8</v>
      </c>
      <c r="D354" s="2" t="str">
        <f>"张樑"</f>
        <v>张樑</v>
      </c>
      <c r="E354" s="2" t="str">
        <f>"男"</f>
        <v>男</v>
      </c>
    </row>
    <row r="355" spans="1:5" s="1" customFormat="1" ht="34.5" customHeight="1">
      <c r="A355" s="2">
        <v>353</v>
      </c>
      <c r="B355" s="2" t="str">
        <f>"35932021121211485466917"</f>
        <v>35932021121211485466917</v>
      </c>
      <c r="C355" s="2" t="s">
        <v>8</v>
      </c>
      <c r="D355" s="2" t="str">
        <f>"郭焱情"</f>
        <v>郭焱情</v>
      </c>
      <c r="E355" s="2" t="str">
        <f>"女"</f>
        <v>女</v>
      </c>
    </row>
    <row r="356" spans="1:5" s="1" customFormat="1" ht="34.5" customHeight="1">
      <c r="A356" s="2">
        <v>354</v>
      </c>
      <c r="B356" s="2" t="str">
        <f>"35932021121212093566921"</f>
        <v>35932021121212093566921</v>
      </c>
      <c r="C356" s="2" t="s">
        <v>8</v>
      </c>
      <c r="D356" s="2" t="str">
        <f>"陈玉罡"</f>
        <v>陈玉罡</v>
      </c>
      <c r="E356" s="2" t="str">
        <f>"男"</f>
        <v>男</v>
      </c>
    </row>
    <row r="357" spans="1:5" s="1" customFormat="1" ht="34.5" customHeight="1">
      <c r="A357" s="2">
        <v>355</v>
      </c>
      <c r="B357" s="2" t="str">
        <f>"35932021121213175666934"</f>
        <v>35932021121213175666934</v>
      </c>
      <c r="C357" s="2" t="s">
        <v>8</v>
      </c>
      <c r="D357" s="2" t="str">
        <f>"林声旭"</f>
        <v>林声旭</v>
      </c>
      <c r="E357" s="2" t="str">
        <f>"男"</f>
        <v>男</v>
      </c>
    </row>
    <row r="358" spans="1:5" s="1" customFormat="1" ht="34.5" customHeight="1">
      <c r="A358" s="2">
        <v>356</v>
      </c>
      <c r="B358" s="2" t="str">
        <f>"35932021121215044466946"</f>
        <v>35932021121215044466946</v>
      </c>
      <c r="C358" s="2" t="s">
        <v>8</v>
      </c>
      <c r="D358" s="2" t="str">
        <f>"王赞章"</f>
        <v>王赞章</v>
      </c>
      <c r="E358" s="2" t="str">
        <f>"男"</f>
        <v>男</v>
      </c>
    </row>
    <row r="359" spans="1:5" s="1" customFormat="1" ht="34.5" customHeight="1">
      <c r="A359" s="2">
        <v>357</v>
      </c>
      <c r="B359" s="2" t="str">
        <f>"35932021121216065966959"</f>
        <v>35932021121216065966959</v>
      </c>
      <c r="C359" s="2" t="s">
        <v>8</v>
      </c>
      <c r="D359" s="2" t="str">
        <f>"周晓君"</f>
        <v>周晓君</v>
      </c>
      <c r="E359" s="2" t="str">
        <f>"女"</f>
        <v>女</v>
      </c>
    </row>
    <row r="360" spans="1:5" s="1" customFormat="1" ht="34.5" customHeight="1">
      <c r="A360" s="2">
        <v>358</v>
      </c>
      <c r="B360" s="2" t="str">
        <f>"35932021121216190766964"</f>
        <v>35932021121216190766964</v>
      </c>
      <c r="C360" s="2" t="s">
        <v>8</v>
      </c>
      <c r="D360" s="2" t="str">
        <f>"王大彬"</f>
        <v>王大彬</v>
      </c>
      <c r="E360" s="2" t="str">
        <f>"男"</f>
        <v>男</v>
      </c>
    </row>
    <row r="361" spans="1:5" s="1" customFormat="1" ht="34.5" customHeight="1">
      <c r="A361" s="2">
        <v>359</v>
      </c>
      <c r="B361" s="2" t="str">
        <f>"35932021121216384566967"</f>
        <v>35932021121216384566967</v>
      </c>
      <c r="C361" s="2" t="s">
        <v>8</v>
      </c>
      <c r="D361" s="2" t="str">
        <f>"周政成"</f>
        <v>周政成</v>
      </c>
      <c r="E361" s="2" t="str">
        <f>"男"</f>
        <v>男</v>
      </c>
    </row>
    <row r="362" spans="1:5" s="1" customFormat="1" ht="34.5" customHeight="1">
      <c r="A362" s="2">
        <v>360</v>
      </c>
      <c r="B362" s="2" t="str">
        <f>"35932021121218373066993"</f>
        <v>35932021121218373066993</v>
      </c>
      <c r="C362" s="2" t="s">
        <v>8</v>
      </c>
      <c r="D362" s="2" t="str">
        <f>"李慧妍"</f>
        <v>李慧妍</v>
      </c>
      <c r="E362" s="2" t="str">
        <f>"女"</f>
        <v>女</v>
      </c>
    </row>
    <row r="363" spans="1:5" s="1" customFormat="1" ht="34.5" customHeight="1">
      <c r="A363" s="2">
        <v>361</v>
      </c>
      <c r="B363" s="2" t="str">
        <f>"35932021121219152367000"</f>
        <v>35932021121219152367000</v>
      </c>
      <c r="C363" s="2" t="s">
        <v>8</v>
      </c>
      <c r="D363" s="2" t="str">
        <f>"牟思诺"</f>
        <v>牟思诺</v>
      </c>
      <c r="E363" s="2" t="str">
        <f>"女"</f>
        <v>女</v>
      </c>
    </row>
    <row r="364" spans="1:5" s="1" customFormat="1" ht="34.5" customHeight="1">
      <c r="A364" s="2">
        <v>362</v>
      </c>
      <c r="B364" s="2" t="str">
        <f>"35932021121220150767007"</f>
        <v>35932021121220150767007</v>
      </c>
      <c r="C364" s="2" t="s">
        <v>8</v>
      </c>
      <c r="D364" s="2" t="str">
        <f>"吴清智"</f>
        <v>吴清智</v>
      </c>
      <c r="E364" s="2" t="str">
        <f>"男"</f>
        <v>男</v>
      </c>
    </row>
    <row r="365" spans="1:5" s="1" customFormat="1" ht="34.5" customHeight="1">
      <c r="A365" s="2">
        <v>363</v>
      </c>
      <c r="B365" s="2" t="str">
        <f>"35932021121221145567022"</f>
        <v>35932021121221145567022</v>
      </c>
      <c r="C365" s="2" t="s">
        <v>8</v>
      </c>
      <c r="D365" s="2" t="str">
        <f>"李中科"</f>
        <v>李中科</v>
      </c>
      <c r="E365" s="2" t="str">
        <f>"男"</f>
        <v>男</v>
      </c>
    </row>
    <row r="366" spans="1:5" s="1" customFormat="1" ht="34.5" customHeight="1">
      <c r="A366" s="2">
        <v>364</v>
      </c>
      <c r="B366" s="2" t="str">
        <f>"35932021121221412967028"</f>
        <v>35932021121221412967028</v>
      </c>
      <c r="C366" s="2" t="s">
        <v>8</v>
      </c>
      <c r="D366" s="2" t="str">
        <f>"许娴静"</f>
        <v>许娴静</v>
      </c>
      <c r="E366" s="2" t="str">
        <f>"女"</f>
        <v>女</v>
      </c>
    </row>
    <row r="367" spans="1:5" s="1" customFormat="1" ht="34.5" customHeight="1">
      <c r="A367" s="2">
        <v>365</v>
      </c>
      <c r="B367" s="2" t="str">
        <f>"35932021121222524167042"</f>
        <v>35932021121222524167042</v>
      </c>
      <c r="C367" s="2" t="s">
        <v>8</v>
      </c>
      <c r="D367" s="2" t="str">
        <f>"王青利"</f>
        <v>王青利</v>
      </c>
      <c r="E367" s="2" t="str">
        <f>"女"</f>
        <v>女</v>
      </c>
    </row>
    <row r="368" spans="1:5" s="1" customFormat="1" ht="34.5" customHeight="1">
      <c r="A368" s="2">
        <v>366</v>
      </c>
      <c r="B368" s="2" t="str">
        <f>"35932021121223015367045"</f>
        <v>35932021121223015367045</v>
      </c>
      <c r="C368" s="2" t="s">
        <v>8</v>
      </c>
      <c r="D368" s="2" t="str">
        <f>"郑天涵"</f>
        <v>郑天涵</v>
      </c>
      <c r="E368" s="2" t="str">
        <f>"男"</f>
        <v>男</v>
      </c>
    </row>
    <row r="369" spans="1:5" s="1" customFormat="1" ht="34.5" customHeight="1">
      <c r="A369" s="2">
        <v>367</v>
      </c>
      <c r="B369" s="2" t="str">
        <f>"35932021121223400867049"</f>
        <v>35932021121223400867049</v>
      </c>
      <c r="C369" s="2" t="s">
        <v>8</v>
      </c>
      <c r="D369" s="2" t="str">
        <f>"唐敏"</f>
        <v>唐敏</v>
      </c>
      <c r="E369" s="2" t="str">
        <f>"男"</f>
        <v>男</v>
      </c>
    </row>
    <row r="370" spans="1:5" s="1" customFormat="1" ht="34.5" customHeight="1">
      <c r="A370" s="2">
        <v>368</v>
      </c>
      <c r="B370" s="2" t="str">
        <f>"35932021121300223767051"</f>
        <v>35932021121300223767051</v>
      </c>
      <c r="C370" s="2" t="s">
        <v>8</v>
      </c>
      <c r="D370" s="2" t="str">
        <f>"陈赋斌"</f>
        <v>陈赋斌</v>
      </c>
      <c r="E370" s="2" t="str">
        <f>"男"</f>
        <v>男</v>
      </c>
    </row>
    <row r="371" spans="1:5" s="1" customFormat="1" ht="34.5" customHeight="1">
      <c r="A371" s="2">
        <v>369</v>
      </c>
      <c r="B371" s="2" t="str">
        <f>"35932021121301590767055"</f>
        <v>35932021121301590767055</v>
      </c>
      <c r="C371" s="2" t="s">
        <v>8</v>
      </c>
      <c r="D371" s="2" t="str">
        <f>"韦时钤"</f>
        <v>韦时钤</v>
      </c>
      <c r="E371" s="2" t="str">
        <f>"男"</f>
        <v>男</v>
      </c>
    </row>
    <row r="372" spans="1:5" s="1" customFormat="1" ht="34.5" customHeight="1">
      <c r="A372" s="2">
        <v>370</v>
      </c>
      <c r="B372" s="2" t="str">
        <f>"35932021121308155367057"</f>
        <v>35932021121308155367057</v>
      </c>
      <c r="C372" s="2" t="s">
        <v>8</v>
      </c>
      <c r="D372" s="2" t="str">
        <f>"翁惠柳"</f>
        <v>翁惠柳</v>
      </c>
      <c r="E372" s="2" t="str">
        <f>"女"</f>
        <v>女</v>
      </c>
    </row>
    <row r="373" spans="1:5" s="1" customFormat="1" ht="34.5" customHeight="1">
      <c r="A373" s="2">
        <v>371</v>
      </c>
      <c r="B373" s="2" t="str">
        <f>"35932021121309090667079"</f>
        <v>35932021121309090667079</v>
      </c>
      <c r="C373" s="2" t="s">
        <v>8</v>
      </c>
      <c r="D373" s="2" t="str">
        <f>"李庆梅"</f>
        <v>李庆梅</v>
      </c>
      <c r="E373" s="2" t="str">
        <f>"女"</f>
        <v>女</v>
      </c>
    </row>
    <row r="374" spans="1:5" s="1" customFormat="1" ht="34.5" customHeight="1">
      <c r="A374" s="2">
        <v>372</v>
      </c>
      <c r="B374" s="2" t="str">
        <f>"35932021121309362667093"</f>
        <v>35932021121309362667093</v>
      </c>
      <c r="C374" s="2" t="s">
        <v>8</v>
      </c>
      <c r="D374" s="2" t="str">
        <f>"邱潇影"</f>
        <v>邱潇影</v>
      </c>
      <c r="E374" s="2" t="str">
        <f>"女"</f>
        <v>女</v>
      </c>
    </row>
    <row r="375" spans="1:5" s="1" customFormat="1" ht="34.5" customHeight="1">
      <c r="A375" s="2">
        <v>373</v>
      </c>
      <c r="B375" s="2" t="str">
        <f>"35932021121309565967097"</f>
        <v>35932021121309565967097</v>
      </c>
      <c r="C375" s="2" t="s">
        <v>8</v>
      </c>
      <c r="D375" s="2" t="str">
        <f>"蔡於勋"</f>
        <v>蔡於勋</v>
      </c>
      <c r="E375" s="2" t="str">
        <f>"男"</f>
        <v>男</v>
      </c>
    </row>
    <row r="376" spans="1:5" s="1" customFormat="1" ht="34.5" customHeight="1">
      <c r="A376" s="2">
        <v>374</v>
      </c>
      <c r="B376" s="2" t="str">
        <f>"35932021121309584767099"</f>
        <v>35932021121309584767099</v>
      </c>
      <c r="C376" s="2" t="s">
        <v>8</v>
      </c>
      <c r="D376" s="2" t="str">
        <f>"裴业生"</f>
        <v>裴业生</v>
      </c>
      <c r="E376" s="2" t="str">
        <f>"男"</f>
        <v>男</v>
      </c>
    </row>
    <row r="377" spans="1:5" s="1" customFormat="1" ht="34.5" customHeight="1">
      <c r="A377" s="2">
        <v>375</v>
      </c>
      <c r="B377" s="2" t="str">
        <f>"35932021121310015267100"</f>
        <v>35932021121310015267100</v>
      </c>
      <c r="C377" s="2" t="s">
        <v>8</v>
      </c>
      <c r="D377" s="2" t="str">
        <f>"许永才"</f>
        <v>许永才</v>
      </c>
      <c r="E377" s="2" t="str">
        <f>"男"</f>
        <v>男</v>
      </c>
    </row>
    <row r="378" spans="1:5" s="1" customFormat="1" ht="34.5" customHeight="1">
      <c r="A378" s="2">
        <v>376</v>
      </c>
      <c r="B378" s="2" t="str">
        <f>"35932021121310125867107"</f>
        <v>35932021121310125867107</v>
      </c>
      <c r="C378" s="2" t="s">
        <v>8</v>
      </c>
      <c r="D378" s="2" t="str">
        <f>"唐多林"</f>
        <v>唐多林</v>
      </c>
      <c r="E378" s="2" t="str">
        <f>"女"</f>
        <v>女</v>
      </c>
    </row>
    <row r="379" spans="1:5" s="1" customFormat="1" ht="34.5" customHeight="1">
      <c r="A379" s="2">
        <v>377</v>
      </c>
      <c r="B379" s="2" t="str">
        <f>"35932021121310153767110"</f>
        <v>35932021121310153767110</v>
      </c>
      <c r="C379" s="2" t="s">
        <v>8</v>
      </c>
      <c r="D379" s="2" t="str">
        <f>"陈诗恳"</f>
        <v>陈诗恳</v>
      </c>
      <c r="E379" s="2" t="str">
        <f>"男"</f>
        <v>男</v>
      </c>
    </row>
    <row r="380" spans="1:5" s="1" customFormat="1" ht="34.5" customHeight="1">
      <c r="A380" s="2">
        <v>378</v>
      </c>
      <c r="B380" s="2" t="str">
        <f>"35932021121310492767122"</f>
        <v>35932021121310492767122</v>
      </c>
      <c r="C380" s="2" t="s">
        <v>8</v>
      </c>
      <c r="D380" s="2" t="str">
        <f>"李诗莹"</f>
        <v>李诗莹</v>
      </c>
      <c r="E380" s="2" t="str">
        <f>"女"</f>
        <v>女</v>
      </c>
    </row>
    <row r="381" spans="1:5" s="1" customFormat="1" ht="34.5" customHeight="1">
      <c r="A381" s="2">
        <v>379</v>
      </c>
      <c r="B381" s="2" t="str">
        <f>"35932021121311520167139"</f>
        <v>35932021121311520167139</v>
      </c>
      <c r="C381" s="2" t="s">
        <v>8</v>
      </c>
      <c r="D381" s="2" t="str">
        <f>"黎秀强"</f>
        <v>黎秀强</v>
      </c>
      <c r="E381" s="2" t="str">
        <f>"男"</f>
        <v>男</v>
      </c>
    </row>
    <row r="382" spans="1:5" s="1" customFormat="1" ht="34.5" customHeight="1">
      <c r="A382" s="2">
        <v>380</v>
      </c>
      <c r="B382" s="2" t="str">
        <f>"35932021121311572467142"</f>
        <v>35932021121311572467142</v>
      </c>
      <c r="C382" s="2" t="s">
        <v>8</v>
      </c>
      <c r="D382" s="2" t="str">
        <f>"薛良华"</f>
        <v>薛良华</v>
      </c>
      <c r="E382" s="2" t="str">
        <f>"男"</f>
        <v>男</v>
      </c>
    </row>
    <row r="383" spans="1:5" s="1" customFormat="1" ht="34.5" customHeight="1">
      <c r="A383" s="2">
        <v>381</v>
      </c>
      <c r="B383" s="2" t="str">
        <f>"35932021121312012667143"</f>
        <v>35932021121312012667143</v>
      </c>
      <c r="C383" s="2" t="s">
        <v>8</v>
      </c>
      <c r="D383" s="2" t="str">
        <f>"陈耀莹"</f>
        <v>陈耀莹</v>
      </c>
      <c r="E383" s="2" t="str">
        <f>"男"</f>
        <v>男</v>
      </c>
    </row>
    <row r="384" spans="1:5" s="1" customFormat="1" ht="34.5" customHeight="1">
      <c r="A384" s="2">
        <v>382</v>
      </c>
      <c r="B384" s="2" t="str">
        <f>"35932021121312482267159"</f>
        <v>35932021121312482267159</v>
      </c>
      <c r="C384" s="2" t="s">
        <v>8</v>
      </c>
      <c r="D384" s="2" t="str">
        <f>"冯小春"</f>
        <v>冯小春</v>
      </c>
      <c r="E384" s="2" t="str">
        <f>"女"</f>
        <v>女</v>
      </c>
    </row>
    <row r="385" spans="1:5" s="1" customFormat="1" ht="34.5" customHeight="1">
      <c r="A385" s="2">
        <v>383</v>
      </c>
      <c r="B385" s="2" t="str">
        <f>"35932021121313323567172"</f>
        <v>35932021121313323567172</v>
      </c>
      <c r="C385" s="2" t="s">
        <v>8</v>
      </c>
      <c r="D385" s="2" t="str">
        <f>"陈郑游"</f>
        <v>陈郑游</v>
      </c>
      <c r="E385" s="2" t="str">
        <f>"男"</f>
        <v>男</v>
      </c>
    </row>
    <row r="386" spans="1:5" s="1" customFormat="1" ht="34.5" customHeight="1">
      <c r="A386" s="2">
        <v>384</v>
      </c>
      <c r="B386" s="2" t="str">
        <f>"35932021121314121667178"</f>
        <v>35932021121314121667178</v>
      </c>
      <c r="C386" s="2" t="s">
        <v>8</v>
      </c>
      <c r="D386" s="2" t="str">
        <f>"邓修超"</f>
        <v>邓修超</v>
      </c>
      <c r="E386" s="2" t="str">
        <f>"男"</f>
        <v>男</v>
      </c>
    </row>
    <row r="387" spans="1:5" s="1" customFormat="1" ht="34.5" customHeight="1">
      <c r="A387" s="2">
        <v>385</v>
      </c>
      <c r="B387" s="2" t="str">
        <f>"35932021121314355167184"</f>
        <v>35932021121314355167184</v>
      </c>
      <c r="C387" s="2" t="s">
        <v>8</v>
      </c>
      <c r="D387" s="2" t="str">
        <f>"欧阳子熙"</f>
        <v>欧阳子熙</v>
      </c>
      <c r="E387" s="2" t="str">
        <f>"男"</f>
        <v>男</v>
      </c>
    </row>
    <row r="388" spans="1:5" s="1" customFormat="1" ht="34.5" customHeight="1">
      <c r="A388" s="2">
        <v>386</v>
      </c>
      <c r="B388" s="2" t="str">
        <f>"35932021121315165267201"</f>
        <v>35932021121315165267201</v>
      </c>
      <c r="C388" s="2" t="s">
        <v>8</v>
      </c>
      <c r="D388" s="2" t="str">
        <f>"王秀容"</f>
        <v>王秀容</v>
      </c>
      <c r="E388" s="2" t="str">
        <f>"女"</f>
        <v>女</v>
      </c>
    </row>
    <row r="389" spans="1:5" s="1" customFormat="1" ht="34.5" customHeight="1">
      <c r="A389" s="2">
        <v>387</v>
      </c>
      <c r="B389" s="2" t="str">
        <f>"35932021121315322767210"</f>
        <v>35932021121315322767210</v>
      </c>
      <c r="C389" s="2" t="s">
        <v>8</v>
      </c>
      <c r="D389" s="2" t="str">
        <f>"王奋"</f>
        <v>王奋</v>
      </c>
      <c r="E389" s="2" t="str">
        <f aca="true" t="shared" si="8" ref="E389:E394">"男"</f>
        <v>男</v>
      </c>
    </row>
    <row r="390" spans="1:5" s="1" customFormat="1" ht="34.5" customHeight="1">
      <c r="A390" s="2">
        <v>388</v>
      </c>
      <c r="B390" s="2" t="str">
        <f>"35932021121315351667211"</f>
        <v>35932021121315351667211</v>
      </c>
      <c r="C390" s="2" t="s">
        <v>8</v>
      </c>
      <c r="D390" s="2" t="str">
        <f>"吴鹏"</f>
        <v>吴鹏</v>
      </c>
      <c r="E390" s="2" t="str">
        <f t="shared" si="8"/>
        <v>男</v>
      </c>
    </row>
    <row r="391" spans="1:5" s="1" customFormat="1" ht="34.5" customHeight="1">
      <c r="A391" s="2">
        <v>389</v>
      </c>
      <c r="B391" s="2" t="str">
        <f>"35932021121315363867212"</f>
        <v>35932021121315363867212</v>
      </c>
      <c r="C391" s="2" t="s">
        <v>8</v>
      </c>
      <c r="D391" s="2" t="str">
        <f>"符尊宇"</f>
        <v>符尊宇</v>
      </c>
      <c r="E391" s="2" t="str">
        <f t="shared" si="8"/>
        <v>男</v>
      </c>
    </row>
    <row r="392" spans="1:5" s="1" customFormat="1" ht="34.5" customHeight="1">
      <c r="A392" s="2">
        <v>390</v>
      </c>
      <c r="B392" s="2" t="str">
        <f>"35932021121315511267222"</f>
        <v>35932021121315511267222</v>
      </c>
      <c r="C392" s="2" t="s">
        <v>8</v>
      </c>
      <c r="D392" s="2" t="str">
        <f>"柳爽"</f>
        <v>柳爽</v>
      </c>
      <c r="E392" s="2" t="str">
        <f t="shared" si="8"/>
        <v>男</v>
      </c>
    </row>
    <row r="393" spans="1:5" s="1" customFormat="1" ht="34.5" customHeight="1">
      <c r="A393" s="2">
        <v>391</v>
      </c>
      <c r="B393" s="2" t="str">
        <f>"35932021121315525567223"</f>
        <v>35932021121315525567223</v>
      </c>
      <c r="C393" s="2" t="s">
        <v>8</v>
      </c>
      <c r="D393" s="2" t="str">
        <f>"冯大捷"</f>
        <v>冯大捷</v>
      </c>
      <c r="E393" s="2" t="str">
        <f t="shared" si="8"/>
        <v>男</v>
      </c>
    </row>
    <row r="394" spans="1:5" s="1" customFormat="1" ht="34.5" customHeight="1">
      <c r="A394" s="2">
        <v>392</v>
      </c>
      <c r="B394" s="2" t="str">
        <f>"35932021121316164067229"</f>
        <v>35932021121316164067229</v>
      </c>
      <c r="C394" s="2" t="s">
        <v>8</v>
      </c>
      <c r="D394" s="2" t="str">
        <f>"林道胜"</f>
        <v>林道胜</v>
      </c>
      <c r="E394" s="2" t="str">
        <f t="shared" si="8"/>
        <v>男</v>
      </c>
    </row>
    <row r="395" spans="1:5" s="1" customFormat="1" ht="34.5" customHeight="1">
      <c r="A395" s="2">
        <v>393</v>
      </c>
      <c r="B395" s="2" t="str">
        <f>"35932021121316542467246"</f>
        <v>35932021121316542467246</v>
      </c>
      <c r="C395" s="2" t="s">
        <v>8</v>
      </c>
      <c r="D395" s="2" t="str">
        <f>"胡珂荃"</f>
        <v>胡珂荃</v>
      </c>
      <c r="E395" s="2" t="str">
        <f>"女"</f>
        <v>女</v>
      </c>
    </row>
    <row r="396" spans="1:5" s="1" customFormat="1" ht="34.5" customHeight="1">
      <c r="A396" s="2">
        <v>394</v>
      </c>
      <c r="B396" s="2" t="str">
        <f>"35932021121318004667263"</f>
        <v>35932021121318004667263</v>
      </c>
      <c r="C396" s="2" t="s">
        <v>8</v>
      </c>
      <c r="D396" s="2" t="str">
        <f>"唐晶晶"</f>
        <v>唐晶晶</v>
      </c>
      <c r="E396" s="2" t="str">
        <f>"女"</f>
        <v>女</v>
      </c>
    </row>
    <row r="397" spans="1:5" s="1" customFormat="1" ht="34.5" customHeight="1">
      <c r="A397" s="2">
        <v>395</v>
      </c>
      <c r="B397" s="2" t="str">
        <f>"35932021121318172867265"</f>
        <v>35932021121318172867265</v>
      </c>
      <c r="C397" s="2" t="s">
        <v>8</v>
      </c>
      <c r="D397" s="2" t="str">
        <f>"陈东升"</f>
        <v>陈东升</v>
      </c>
      <c r="E397" s="2" t="str">
        <f>"男"</f>
        <v>男</v>
      </c>
    </row>
    <row r="398" spans="1:5" s="1" customFormat="1" ht="34.5" customHeight="1">
      <c r="A398" s="2">
        <v>396</v>
      </c>
      <c r="B398" s="2" t="str">
        <f>"35932021121319035267271"</f>
        <v>35932021121319035267271</v>
      </c>
      <c r="C398" s="2" t="s">
        <v>8</v>
      </c>
      <c r="D398" s="2" t="str">
        <f>"李瑞明"</f>
        <v>李瑞明</v>
      </c>
      <c r="E398" s="2" t="str">
        <f>"男"</f>
        <v>男</v>
      </c>
    </row>
    <row r="399" spans="1:5" s="1" customFormat="1" ht="34.5" customHeight="1">
      <c r="A399" s="2">
        <v>397</v>
      </c>
      <c r="B399" s="2" t="str">
        <f>"35932021121319155367274"</f>
        <v>35932021121319155367274</v>
      </c>
      <c r="C399" s="2" t="s">
        <v>8</v>
      </c>
      <c r="D399" s="2" t="str">
        <f>"黄小珍"</f>
        <v>黄小珍</v>
      </c>
      <c r="E399" s="2" t="str">
        <f>"女"</f>
        <v>女</v>
      </c>
    </row>
    <row r="400" spans="1:5" s="1" customFormat="1" ht="34.5" customHeight="1">
      <c r="A400" s="2">
        <v>398</v>
      </c>
      <c r="B400" s="2" t="str">
        <f>"35932021121319341367278"</f>
        <v>35932021121319341367278</v>
      </c>
      <c r="C400" s="2" t="s">
        <v>8</v>
      </c>
      <c r="D400" s="2" t="str">
        <f>"吴淑军"</f>
        <v>吴淑军</v>
      </c>
      <c r="E400" s="2" t="str">
        <f aca="true" t="shared" si="9" ref="E400:E407">"男"</f>
        <v>男</v>
      </c>
    </row>
    <row r="401" spans="1:5" s="1" customFormat="1" ht="34.5" customHeight="1">
      <c r="A401" s="2">
        <v>399</v>
      </c>
      <c r="B401" s="2" t="str">
        <f>"35932021121319352367279"</f>
        <v>35932021121319352367279</v>
      </c>
      <c r="C401" s="2" t="s">
        <v>8</v>
      </c>
      <c r="D401" s="2" t="str">
        <f>"陈丕光"</f>
        <v>陈丕光</v>
      </c>
      <c r="E401" s="2" t="str">
        <f t="shared" si="9"/>
        <v>男</v>
      </c>
    </row>
    <row r="402" spans="1:5" s="1" customFormat="1" ht="34.5" customHeight="1">
      <c r="A402" s="2">
        <v>400</v>
      </c>
      <c r="B402" s="2" t="str">
        <f>"35932021121320060067284"</f>
        <v>35932021121320060067284</v>
      </c>
      <c r="C402" s="2" t="s">
        <v>8</v>
      </c>
      <c r="D402" s="2" t="str">
        <f>"蒋应森"</f>
        <v>蒋应森</v>
      </c>
      <c r="E402" s="2" t="str">
        <f t="shared" si="9"/>
        <v>男</v>
      </c>
    </row>
    <row r="403" spans="1:5" s="1" customFormat="1" ht="34.5" customHeight="1">
      <c r="A403" s="2">
        <v>401</v>
      </c>
      <c r="B403" s="2" t="str">
        <f>"35932021121320245867291"</f>
        <v>35932021121320245867291</v>
      </c>
      <c r="C403" s="2" t="s">
        <v>8</v>
      </c>
      <c r="D403" s="2" t="str">
        <f>"唐华宇"</f>
        <v>唐华宇</v>
      </c>
      <c r="E403" s="2" t="str">
        <f t="shared" si="9"/>
        <v>男</v>
      </c>
    </row>
    <row r="404" spans="1:5" s="1" customFormat="1" ht="34.5" customHeight="1">
      <c r="A404" s="2">
        <v>402</v>
      </c>
      <c r="B404" s="2" t="str">
        <f>"35932021121320383667296"</f>
        <v>35932021121320383667296</v>
      </c>
      <c r="C404" s="2" t="s">
        <v>8</v>
      </c>
      <c r="D404" s="2" t="str">
        <f>"黎培旭"</f>
        <v>黎培旭</v>
      </c>
      <c r="E404" s="2" t="str">
        <f t="shared" si="9"/>
        <v>男</v>
      </c>
    </row>
    <row r="405" spans="1:5" s="1" customFormat="1" ht="34.5" customHeight="1">
      <c r="A405" s="2">
        <v>403</v>
      </c>
      <c r="B405" s="2" t="str">
        <f>"35932021121320400767297"</f>
        <v>35932021121320400767297</v>
      </c>
      <c r="C405" s="2" t="s">
        <v>8</v>
      </c>
      <c r="D405" s="2" t="str">
        <f>"王超"</f>
        <v>王超</v>
      </c>
      <c r="E405" s="2" t="str">
        <f t="shared" si="9"/>
        <v>男</v>
      </c>
    </row>
    <row r="406" spans="1:5" s="1" customFormat="1" ht="34.5" customHeight="1">
      <c r="A406" s="2">
        <v>404</v>
      </c>
      <c r="B406" s="2" t="str">
        <f>"35932021121320503067299"</f>
        <v>35932021121320503067299</v>
      </c>
      <c r="C406" s="2" t="s">
        <v>8</v>
      </c>
      <c r="D406" s="2" t="str">
        <f>"全少强"</f>
        <v>全少强</v>
      </c>
      <c r="E406" s="2" t="str">
        <f t="shared" si="9"/>
        <v>男</v>
      </c>
    </row>
    <row r="407" spans="1:5" s="1" customFormat="1" ht="34.5" customHeight="1">
      <c r="A407" s="2">
        <v>405</v>
      </c>
      <c r="B407" s="2" t="str">
        <f>"35932021121321031867307"</f>
        <v>35932021121321031867307</v>
      </c>
      <c r="C407" s="2" t="s">
        <v>8</v>
      </c>
      <c r="D407" s="2" t="str">
        <f>"潘宇鹏"</f>
        <v>潘宇鹏</v>
      </c>
      <c r="E407" s="2" t="str">
        <f t="shared" si="9"/>
        <v>男</v>
      </c>
    </row>
    <row r="408" spans="1:5" s="1" customFormat="1" ht="34.5" customHeight="1">
      <c r="A408" s="2">
        <v>406</v>
      </c>
      <c r="B408" s="2" t="str">
        <f>"35932021121321104867309"</f>
        <v>35932021121321104867309</v>
      </c>
      <c r="C408" s="2" t="s">
        <v>8</v>
      </c>
      <c r="D408" s="2" t="str">
        <f>"周仕娥"</f>
        <v>周仕娥</v>
      </c>
      <c r="E408" s="2" t="str">
        <f>"女"</f>
        <v>女</v>
      </c>
    </row>
    <row r="409" spans="1:5" s="1" customFormat="1" ht="34.5" customHeight="1">
      <c r="A409" s="2">
        <v>407</v>
      </c>
      <c r="B409" s="2" t="str">
        <f>"35932021121321195067312"</f>
        <v>35932021121321195067312</v>
      </c>
      <c r="C409" s="2" t="s">
        <v>8</v>
      </c>
      <c r="D409" s="2" t="str">
        <f>"陈婧"</f>
        <v>陈婧</v>
      </c>
      <c r="E409" s="2" t="str">
        <f>"女"</f>
        <v>女</v>
      </c>
    </row>
    <row r="410" spans="1:5" s="1" customFormat="1" ht="34.5" customHeight="1">
      <c r="A410" s="2">
        <v>408</v>
      </c>
      <c r="B410" s="2" t="str">
        <f>"35932021121322292767332"</f>
        <v>35932021121322292767332</v>
      </c>
      <c r="C410" s="2" t="s">
        <v>8</v>
      </c>
      <c r="D410" s="2" t="str">
        <f>"陈淑芳"</f>
        <v>陈淑芳</v>
      </c>
      <c r="E410" s="2" t="str">
        <f>"女"</f>
        <v>女</v>
      </c>
    </row>
    <row r="411" spans="1:5" s="1" customFormat="1" ht="34.5" customHeight="1">
      <c r="A411" s="2">
        <v>409</v>
      </c>
      <c r="B411" s="2" t="str">
        <f>"35932021121322415767333"</f>
        <v>35932021121322415767333</v>
      </c>
      <c r="C411" s="2" t="s">
        <v>8</v>
      </c>
      <c r="D411" s="2" t="str">
        <f>"郑灵杰"</f>
        <v>郑灵杰</v>
      </c>
      <c r="E411" s="2" t="str">
        <f>"男"</f>
        <v>男</v>
      </c>
    </row>
    <row r="412" spans="1:5" s="1" customFormat="1" ht="34.5" customHeight="1">
      <c r="A412" s="2">
        <v>410</v>
      </c>
      <c r="B412" s="2" t="str">
        <f>"35932021121322483467334"</f>
        <v>35932021121322483467334</v>
      </c>
      <c r="C412" s="2" t="s">
        <v>8</v>
      </c>
      <c r="D412" s="2" t="str">
        <f>"邓娟妹"</f>
        <v>邓娟妹</v>
      </c>
      <c r="E412" s="2" t="str">
        <f>"女"</f>
        <v>女</v>
      </c>
    </row>
    <row r="413" spans="1:5" s="1" customFormat="1" ht="34.5" customHeight="1">
      <c r="A413" s="2">
        <v>411</v>
      </c>
      <c r="B413" s="2" t="str">
        <f>"35932021121400112667342"</f>
        <v>35932021121400112667342</v>
      </c>
      <c r="C413" s="2" t="s">
        <v>8</v>
      </c>
      <c r="D413" s="2" t="str">
        <f>"韩健"</f>
        <v>韩健</v>
      </c>
      <c r="E413" s="2" t="str">
        <f>"男"</f>
        <v>男</v>
      </c>
    </row>
    <row r="414" spans="1:5" s="1" customFormat="1" ht="34.5" customHeight="1">
      <c r="A414" s="2">
        <v>412</v>
      </c>
      <c r="B414" s="2" t="str">
        <f>"35932021121409092067356"</f>
        <v>35932021121409092067356</v>
      </c>
      <c r="C414" s="2" t="s">
        <v>8</v>
      </c>
      <c r="D414" s="2" t="str">
        <f>"陈丽娃"</f>
        <v>陈丽娃</v>
      </c>
      <c r="E414" s="2" t="str">
        <f aca="true" t="shared" si="10" ref="E414:E419">"女"</f>
        <v>女</v>
      </c>
    </row>
    <row r="415" spans="1:5" s="1" customFormat="1" ht="34.5" customHeight="1">
      <c r="A415" s="2">
        <v>413</v>
      </c>
      <c r="B415" s="2" t="str">
        <f>"35932021121409170867358"</f>
        <v>35932021121409170867358</v>
      </c>
      <c r="C415" s="2" t="s">
        <v>8</v>
      </c>
      <c r="D415" s="2" t="str">
        <f>"刘娇君"</f>
        <v>刘娇君</v>
      </c>
      <c r="E415" s="2" t="str">
        <f t="shared" si="10"/>
        <v>女</v>
      </c>
    </row>
    <row r="416" spans="1:5" s="1" customFormat="1" ht="34.5" customHeight="1">
      <c r="A416" s="2">
        <v>414</v>
      </c>
      <c r="B416" s="2" t="str">
        <f>"35932021121409434367369"</f>
        <v>35932021121409434367369</v>
      </c>
      <c r="C416" s="2" t="s">
        <v>8</v>
      </c>
      <c r="D416" s="2" t="str">
        <f>"赵永廷"</f>
        <v>赵永廷</v>
      </c>
      <c r="E416" s="2" t="str">
        <f t="shared" si="10"/>
        <v>女</v>
      </c>
    </row>
    <row r="417" spans="1:5" s="1" customFormat="1" ht="34.5" customHeight="1">
      <c r="A417" s="2">
        <v>415</v>
      </c>
      <c r="B417" s="2" t="str">
        <f>"35932021121410170167375"</f>
        <v>35932021121410170167375</v>
      </c>
      <c r="C417" s="2" t="s">
        <v>8</v>
      </c>
      <c r="D417" s="2" t="str">
        <f>"严芳娜"</f>
        <v>严芳娜</v>
      </c>
      <c r="E417" s="2" t="str">
        <f t="shared" si="10"/>
        <v>女</v>
      </c>
    </row>
    <row r="418" spans="1:5" s="1" customFormat="1" ht="34.5" customHeight="1">
      <c r="A418" s="2">
        <v>416</v>
      </c>
      <c r="B418" s="2" t="str">
        <f>"35932021121411341067399"</f>
        <v>35932021121411341067399</v>
      </c>
      <c r="C418" s="2" t="s">
        <v>8</v>
      </c>
      <c r="D418" s="2" t="str">
        <f>"林泽"</f>
        <v>林泽</v>
      </c>
      <c r="E418" s="2" t="str">
        <f t="shared" si="10"/>
        <v>女</v>
      </c>
    </row>
    <row r="419" spans="1:5" s="1" customFormat="1" ht="34.5" customHeight="1">
      <c r="A419" s="2">
        <v>417</v>
      </c>
      <c r="B419" s="2" t="str">
        <f>"35932021121413545167428"</f>
        <v>35932021121413545167428</v>
      </c>
      <c r="C419" s="2" t="s">
        <v>8</v>
      </c>
      <c r="D419" s="2" t="str">
        <f>"徐丹丹"</f>
        <v>徐丹丹</v>
      </c>
      <c r="E419" s="2" t="str">
        <f t="shared" si="10"/>
        <v>女</v>
      </c>
    </row>
    <row r="420" spans="1:5" s="1" customFormat="1" ht="34.5" customHeight="1">
      <c r="A420" s="2">
        <v>418</v>
      </c>
      <c r="B420" s="2" t="str">
        <f>"35932021121414504267434"</f>
        <v>35932021121414504267434</v>
      </c>
      <c r="C420" s="2" t="s">
        <v>8</v>
      </c>
      <c r="D420" s="2" t="str">
        <f>"叶文熊"</f>
        <v>叶文熊</v>
      </c>
      <c r="E420" s="2" t="str">
        <f>"男"</f>
        <v>男</v>
      </c>
    </row>
    <row r="421" spans="1:5" s="1" customFormat="1" ht="34.5" customHeight="1">
      <c r="A421" s="2">
        <v>419</v>
      </c>
      <c r="B421" s="2" t="str">
        <f>"35932021121414595467439"</f>
        <v>35932021121414595467439</v>
      </c>
      <c r="C421" s="2" t="s">
        <v>8</v>
      </c>
      <c r="D421" s="2" t="str">
        <f>"王英敏"</f>
        <v>王英敏</v>
      </c>
      <c r="E421" s="2" t="str">
        <f>"女"</f>
        <v>女</v>
      </c>
    </row>
    <row r="422" spans="1:5" s="1" customFormat="1" ht="34.5" customHeight="1">
      <c r="A422" s="2">
        <v>420</v>
      </c>
      <c r="B422" s="2" t="str">
        <f>"35932021121415484667451"</f>
        <v>35932021121415484667451</v>
      </c>
      <c r="C422" s="2" t="s">
        <v>8</v>
      </c>
      <c r="D422" s="2" t="str">
        <f>"赵寒"</f>
        <v>赵寒</v>
      </c>
      <c r="E422" s="2" t="str">
        <f>"女"</f>
        <v>女</v>
      </c>
    </row>
    <row r="423" spans="1:5" s="1" customFormat="1" ht="34.5" customHeight="1">
      <c r="A423" s="2">
        <v>421</v>
      </c>
      <c r="B423" s="2" t="str">
        <f>"35932021121415503467452"</f>
        <v>35932021121415503467452</v>
      </c>
      <c r="C423" s="2" t="s">
        <v>8</v>
      </c>
      <c r="D423" s="2" t="str">
        <f>"夏高理"</f>
        <v>夏高理</v>
      </c>
      <c r="E423" s="2" t="str">
        <f>"男"</f>
        <v>男</v>
      </c>
    </row>
    <row r="424" spans="1:5" s="1" customFormat="1" ht="34.5" customHeight="1">
      <c r="A424" s="2">
        <v>422</v>
      </c>
      <c r="B424" s="2" t="str">
        <f>"35932021121417100967479"</f>
        <v>35932021121417100967479</v>
      </c>
      <c r="C424" s="2" t="s">
        <v>8</v>
      </c>
      <c r="D424" s="2" t="str">
        <f>"孙诒富"</f>
        <v>孙诒富</v>
      </c>
      <c r="E424" s="2" t="str">
        <f>"男"</f>
        <v>男</v>
      </c>
    </row>
    <row r="425" spans="1:5" s="1" customFormat="1" ht="34.5" customHeight="1">
      <c r="A425" s="2">
        <v>423</v>
      </c>
      <c r="B425" s="2" t="str">
        <f>"35932021121417500867485"</f>
        <v>35932021121417500867485</v>
      </c>
      <c r="C425" s="2" t="s">
        <v>8</v>
      </c>
      <c r="D425" s="2" t="str">
        <f>"冯秀娜"</f>
        <v>冯秀娜</v>
      </c>
      <c r="E425" s="2" t="str">
        <f>"女"</f>
        <v>女</v>
      </c>
    </row>
    <row r="426" spans="1:5" s="1" customFormat="1" ht="34.5" customHeight="1">
      <c r="A426" s="2">
        <v>424</v>
      </c>
      <c r="B426" s="2" t="str">
        <f>"35932021121418260567489"</f>
        <v>35932021121418260567489</v>
      </c>
      <c r="C426" s="2" t="s">
        <v>8</v>
      </c>
      <c r="D426" s="2" t="str">
        <f>"宁芳冰"</f>
        <v>宁芳冰</v>
      </c>
      <c r="E426" s="2" t="str">
        <f>"女"</f>
        <v>女</v>
      </c>
    </row>
    <row r="427" spans="1:5" s="1" customFormat="1" ht="34.5" customHeight="1">
      <c r="A427" s="2">
        <v>425</v>
      </c>
      <c r="B427" s="2" t="str">
        <f>"35932021121420234067507"</f>
        <v>35932021121420234067507</v>
      </c>
      <c r="C427" s="2" t="s">
        <v>8</v>
      </c>
      <c r="D427" s="2" t="str">
        <f>"邢圣业"</f>
        <v>邢圣业</v>
      </c>
      <c r="E427" s="2" t="str">
        <f>"男"</f>
        <v>男</v>
      </c>
    </row>
    <row r="428" spans="1:5" s="1" customFormat="1" ht="34.5" customHeight="1">
      <c r="A428" s="2">
        <v>426</v>
      </c>
      <c r="B428" s="2" t="str">
        <f>"35932021121420374067509"</f>
        <v>35932021121420374067509</v>
      </c>
      <c r="C428" s="2" t="s">
        <v>8</v>
      </c>
      <c r="D428" s="2" t="str">
        <f>"陈昱桦"</f>
        <v>陈昱桦</v>
      </c>
      <c r="E428" s="2" t="str">
        <f>"男"</f>
        <v>男</v>
      </c>
    </row>
    <row r="429" spans="1:5" s="1" customFormat="1" ht="34.5" customHeight="1">
      <c r="A429" s="2">
        <v>427</v>
      </c>
      <c r="B429" s="2" t="str">
        <f>"35932021121421051467517"</f>
        <v>35932021121421051467517</v>
      </c>
      <c r="C429" s="2" t="s">
        <v>8</v>
      </c>
      <c r="D429" s="2" t="str">
        <f>"张灿"</f>
        <v>张灿</v>
      </c>
      <c r="E429" s="2" t="str">
        <f>"男"</f>
        <v>男</v>
      </c>
    </row>
    <row r="430" spans="1:5" s="1" customFormat="1" ht="34.5" customHeight="1">
      <c r="A430" s="2">
        <v>428</v>
      </c>
      <c r="B430" s="2" t="str">
        <f>"35932021121421275967525"</f>
        <v>35932021121421275967525</v>
      </c>
      <c r="C430" s="2" t="s">
        <v>8</v>
      </c>
      <c r="D430" s="2" t="str">
        <f>"沈观荣"</f>
        <v>沈观荣</v>
      </c>
      <c r="E430" s="2" t="str">
        <f>"男"</f>
        <v>男</v>
      </c>
    </row>
    <row r="431" spans="1:5" s="1" customFormat="1" ht="34.5" customHeight="1">
      <c r="A431" s="2">
        <v>429</v>
      </c>
      <c r="B431" s="2" t="str">
        <f>"35932021121422343967544"</f>
        <v>35932021121422343967544</v>
      </c>
      <c r="C431" s="2" t="s">
        <v>8</v>
      </c>
      <c r="D431" s="2" t="str">
        <f>"陈泽源"</f>
        <v>陈泽源</v>
      </c>
      <c r="E431" s="2" t="str">
        <f>"男"</f>
        <v>男</v>
      </c>
    </row>
    <row r="432" spans="1:5" s="1" customFormat="1" ht="34.5" customHeight="1">
      <c r="A432" s="2">
        <v>430</v>
      </c>
      <c r="B432" s="2" t="str">
        <f>"35932021121422415367545"</f>
        <v>35932021121422415367545</v>
      </c>
      <c r="C432" s="2" t="s">
        <v>8</v>
      </c>
      <c r="D432" s="2" t="str">
        <f>"林汶莉"</f>
        <v>林汶莉</v>
      </c>
      <c r="E432" s="2" t="str">
        <f>"女"</f>
        <v>女</v>
      </c>
    </row>
    <row r="433" spans="1:5" s="1" customFormat="1" ht="34.5" customHeight="1">
      <c r="A433" s="2">
        <v>431</v>
      </c>
      <c r="B433" s="2" t="str">
        <f>"35932021121423070267552"</f>
        <v>35932021121423070267552</v>
      </c>
      <c r="C433" s="2" t="s">
        <v>8</v>
      </c>
      <c r="D433" s="2" t="str">
        <f>"周芸"</f>
        <v>周芸</v>
      </c>
      <c r="E433" s="2" t="str">
        <f>"女"</f>
        <v>女</v>
      </c>
    </row>
    <row r="434" spans="1:5" s="1" customFormat="1" ht="34.5" customHeight="1">
      <c r="A434" s="2">
        <v>432</v>
      </c>
      <c r="B434" s="2" t="str">
        <f>"35932021121423325567556"</f>
        <v>35932021121423325567556</v>
      </c>
      <c r="C434" s="2" t="s">
        <v>8</v>
      </c>
      <c r="D434" s="2" t="str">
        <f>"谢嘉欣"</f>
        <v>谢嘉欣</v>
      </c>
      <c r="E434" s="2" t="str">
        <f>"女"</f>
        <v>女</v>
      </c>
    </row>
    <row r="435" spans="1:5" s="1" customFormat="1" ht="34.5" customHeight="1">
      <c r="A435" s="2">
        <v>433</v>
      </c>
      <c r="B435" s="2" t="str">
        <f>"35932021121506352267563"</f>
        <v>35932021121506352267563</v>
      </c>
      <c r="C435" s="2" t="s">
        <v>8</v>
      </c>
      <c r="D435" s="2" t="str">
        <f>"林佳"</f>
        <v>林佳</v>
      </c>
      <c r="E435" s="2" t="str">
        <f>"女"</f>
        <v>女</v>
      </c>
    </row>
    <row r="436" spans="1:5" s="1" customFormat="1" ht="34.5" customHeight="1">
      <c r="A436" s="2">
        <v>434</v>
      </c>
      <c r="B436" s="2" t="str">
        <f>"35932021121508011767566"</f>
        <v>35932021121508011767566</v>
      </c>
      <c r="C436" s="2" t="s">
        <v>8</v>
      </c>
      <c r="D436" s="2" t="str">
        <f>"吴纬"</f>
        <v>吴纬</v>
      </c>
      <c r="E436" s="2" t="str">
        <f>"男"</f>
        <v>男</v>
      </c>
    </row>
    <row r="437" spans="1:5" s="1" customFormat="1" ht="34.5" customHeight="1">
      <c r="A437" s="2">
        <v>435</v>
      </c>
      <c r="B437" s="2" t="str">
        <f>"35932021121509324267582"</f>
        <v>35932021121509324267582</v>
      </c>
      <c r="C437" s="2" t="s">
        <v>8</v>
      </c>
      <c r="D437" s="2" t="str">
        <f>"王铂源"</f>
        <v>王铂源</v>
      </c>
      <c r="E437" s="2" t="str">
        <f>"男"</f>
        <v>男</v>
      </c>
    </row>
    <row r="438" spans="1:5" s="1" customFormat="1" ht="34.5" customHeight="1">
      <c r="A438" s="2">
        <v>436</v>
      </c>
      <c r="B438" s="2" t="str">
        <f>"35932021121509450067584"</f>
        <v>35932021121509450067584</v>
      </c>
      <c r="C438" s="2" t="s">
        <v>8</v>
      </c>
      <c r="D438" s="2" t="str">
        <f>"李玥"</f>
        <v>李玥</v>
      </c>
      <c r="E438" s="2" t="str">
        <f>"男"</f>
        <v>男</v>
      </c>
    </row>
    <row r="439" spans="1:5" s="1" customFormat="1" ht="34.5" customHeight="1">
      <c r="A439" s="2">
        <v>437</v>
      </c>
      <c r="B439" s="2" t="str">
        <f>"35932021121510362867598"</f>
        <v>35932021121510362867598</v>
      </c>
      <c r="C439" s="2" t="s">
        <v>8</v>
      </c>
      <c r="D439" s="2" t="str">
        <f>"王雅灵"</f>
        <v>王雅灵</v>
      </c>
      <c r="E439" s="2" t="str">
        <f>"女"</f>
        <v>女</v>
      </c>
    </row>
    <row r="440" spans="1:5" s="1" customFormat="1" ht="34.5" customHeight="1">
      <c r="A440" s="2">
        <v>438</v>
      </c>
      <c r="B440" s="2" t="str">
        <f>"35932021121512550867617"</f>
        <v>35932021121512550867617</v>
      </c>
      <c r="C440" s="2" t="s">
        <v>8</v>
      </c>
      <c r="D440" s="2" t="str">
        <f>"陈唐键"</f>
        <v>陈唐键</v>
      </c>
      <c r="E440" s="2" t="str">
        <f>"男"</f>
        <v>男</v>
      </c>
    </row>
    <row r="441" spans="1:5" s="1" customFormat="1" ht="34.5" customHeight="1">
      <c r="A441" s="2">
        <v>439</v>
      </c>
      <c r="B441" s="2" t="str">
        <f>"35932021121513123867620"</f>
        <v>35932021121513123867620</v>
      </c>
      <c r="C441" s="2" t="s">
        <v>8</v>
      </c>
      <c r="D441" s="2" t="str">
        <f>"全雅梦"</f>
        <v>全雅梦</v>
      </c>
      <c r="E441" s="2" t="str">
        <f>"女"</f>
        <v>女</v>
      </c>
    </row>
    <row r="442" spans="1:5" s="1" customFormat="1" ht="34.5" customHeight="1">
      <c r="A442" s="2">
        <v>440</v>
      </c>
      <c r="B442" s="2" t="str">
        <f>"35932021121515560167644"</f>
        <v>35932021121515560167644</v>
      </c>
      <c r="C442" s="2" t="s">
        <v>8</v>
      </c>
      <c r="D442" s="2" t="str">
        <f>"陈志莉"</f>
        <v>陈志莉</v>
      </c>
      <c r="E442" s="2" t="str">
        <f>"女"</f>
        <v>女</v>
      </c>
    </row>
    <row r="443" spans="1:5" s="1" customFormat="1" ht="34.5" customHeight="1">
      <c r="A443" s="2">
        <v>441</v>
      </c>
      <c r="B443" s="2" t="str">
        <f>"35932021121516011667647"</f>
        <v>35932021121516011667647</v>
      </c>
      <c r="C443" s="2" t="s">
        <v>8</v>
      </c>
      <c r="D443" s="2" t="str">
        <f>"吴多举"</f>
        <v>吴多举</v>
      </c>
      <c r="E443" s="2" t="str">
        <f>"男"</f>
        <v>男</v>
      </c>
    </row>
    <row r="444" spans="1:5" s="1" customFormat="1" ht="34.5" customHeight="1">
      <c r="A444" s="2">
        <v>442</v>
      </c>
      <c r="B444" s="2" t="str">
        <f>"35932021121516300767659"</f>
        <v>35932021121516300767659</v>
      </c>
      <c r="C444" s="2" t="s">
        <v>8</v>
      </c>
      <c r="D444" s="2" t="str">
        <f>"符田秋"</f>
        <v>符田秋</v>
      </c>
      <c r="E444" s="2" t="str">
        <f>"女"</f>
        <v>女</v>
      </c>
    </row>
    <row r="445" spans="1:5" s="1" customFormat="1" ht="34.5" customHeight="1">
      <c r="A445" s="2">
        <v>443</v>
      </c>
      <c r="B445" s="2" t="str">
        <f>"35932021121516460067662"</f>
        <v>35932021121516460067662</v>
      </c>
      <c r="C445" s="2" t="s">
        <v>8</v>
      </c>
      <c r="D445" s="2" t="str">
        <f>"陈景涛"</f>
        <v>陈景涛</v>
      </c>
      <c r="E445" s="2" t="str">
        <f>"男"</f>
        <v>男</v>
      </c>
    </row>
    <row r="446" spans="1:5" s="1" customFormat="1" ht="34.5" customHeight="1">
      <c r="A446" s="2">
        <v>444</v>
      </c>
      <c r="B446" s="2" t="str">
        <f>"35932021121516582767664"</f>
        <v>35932021121516582767664</v>
      </c>
      <c r="C446" s="2" t="s">
        <v>8</v>
      </c>
      <c r="D446" s="2" t="str">
        <f>"邢孔育"</f>
        <v>邢孔育</v>
      </c>
      <c r="E446" s="2" t="str">
        <f>"男"</f>
        <v>男</v>
      </c>
    </row>
    <row r="447" spans="1:5" s="1" customFormat="1" ht="34.5" customHeight="1">
      <c r="A447" s="2">
        <v>445</v>
      </c>
      <c r="B447" s="2" t="str">
        <f>"35932021121518042567682"</f>
        <v>35932021121518042567682</v>
      </c>
      <c r="C447" s="2" t="s">
        <v>8</v>
      </c>
      <c r="D447" s="2" t="str">
        <f>"黄懿"</f>
        <v>黄懿</v>
      </c>
      <c r="E447" s="2" t="str">
        <f>"男"</f>
        <v>男</v>
      </c>
    </row>
    <row r="448" spans="1:5" s="1" customFormat="1" ht="34.5" customHeight="1">
      <c r="A448" s="2">
        <v>446</v>
      </c>
      <c r="B448" s="2" t="str">
        <f>"35932021121518285167687"</f>
        <v>35932021121518285167687</v>
      </c>
      <c r="C448" s="2" t="s">
        <v>8</v>
      </c>
      <c r="D448" s="2" t="str">
        <f>"汤城"</f>
        <v>汤城</v>
      </c>
      <c r="E448" s="2" t="str">
        <f>"男"</f>
        <v>男</v>
      </c>
    </row>
    <row r="449" spans="1:5" s="1" customFormat="1" ht="34.5" customHeight="1">
      <c r="A449" s="2">
        <v>447</v>
      </c>
      <c r="B449" s="2" t="str">
        <f>"35932021121519031967692"</f>
        <v>35932021121519031967692</v>
      </c>
      <c r="C449" s="2" t="s">
        <v>8</v>
      </c>
      <c r="D449" s="2" t="str">
        <f>"于海洋"</f>
        <v>于海洋</v>
      </c>
      <c r="E449" s="2" t="str">
        <f>"女"</f>
        <v>女</v>
      </c>
    </row>
    <row r="450" spans="1:5" s="1" customFormat="1" ht="34.5" customHeight="1">
      <c r="A450" s="2">
        <v>448</v>
      </c>
      <c r="B450" s="2" t="str">
        <f>"35932021121519043467693"</f>
        <v>35932021121519043467693</v>
      </c>
      <c r="C450" s="2" t="s">
        <v>8</v>
      </c>
      <c r="D450" s="2" t="str">
        <f>"马茂凯"</f>
        <v>马茂凯</v>
      </c>
      <c r="E450" s="2" t="str">
        <f>"男"</f>
        <v>男</v>
      </c>
    </row>
    <row r="451" spans="1:5" s="1" customFormat="1" ht="34.5" customHeight="1">
      <c r="A451" s="2">
        <v>449</v>
      </c>
      <c r="B451" s="2" t="str">
        <f>"35932021121519201667698"</f>
        <v>35932021121519201667698</v>
      </c>
      <c r="C451" s="2" t="s">
        <v>8</v>
      </c>
      <c r="D451" s="2" t="str">
        <f>"王琰"</f>
        <v>王琰</v>
      </c>
      <c r="E451" s="2" t="str">
        <f>"女"</f>
        <v>女</v>
      </c>
    </row>
    <row r="452" spans="1:5" s="1" customFormat="1" ht="34.5" customHeight="1">
      <c r="A452" s="2">
        <v>450</v>
      </c>
      <c r="B452" s="2" t="str">
        <f>"35932021121519335667700"</f>
        <v>35932021121519335667700</v>
      </c>
      <c r="C452" s="2" t="s">
        <v>8</v>
      </c>
      <c r="D452" s="2" t="str">
        <f>"杨学昆"</f>
        <v>杨学昆</v>
      </c>
      <c r="E452" s="2" t="str">
        <f>"男"</f>
        <v>男</v>
      </c>
    </row>
    <row r="453" spans="1:5" s="1" customFormat="1" ht="34.5" customHeight="1">
      <c r="A453" s="2">
        <v>451</v>
      </c>
      <c r="B453" s="2" t="str">
        <f>"35932021121520135467711"</f>
        <v>35932021121520135467711</v>
      </c>
      <c r="C453" s="2" t="s">
        <v>8</v>
      </c>
      <c r="D453" s="2" t="str">
        <f>"洪绵卫"</f>
        <v>洪绵卫</v>
      </c>
      <c r="E453" s="2" t="str">
        <f>"男"</f>
        <v>男</v>
      </c>
    </row>
    <row r="454" spans="1:5" s="1" customFormat="1" ht="34.5" customHeight="1">
      <c r="A454" s="2">
        <v>452</v>
      </c>
      <c r="B454" s="2" t="str">
        <f>"35932021121520142467712"</f>
        <v>35932021121520142467712</v>
      </c>
      <c r="C454" s="2" t="s">
        <v>8</v>
      </c>
      <c r="D454" s="2" t="str">
        <f>"温冬梅"</f>
        <v>温冬梅</v>
      </c>
      <c r="E454" s="2" t="str">
        <f>"女"</f>
        <v>女</v>
      </c>
    </row>
    <row r="455" spans="1:5" s="1" customFormat="1" ht="34.5" customHeight="1">
      <c r="A455" s="2">
        <v>453</v>
      </c>
      <c r="B455" s="2" t="str">
        <f>"35932021121520241667713"</f>
        <v>35932021121520241667713</v>
      </c>
      <c r="C455" s="2" t="s">
        <v>8</v>
      </c>
      <c r="D455" s="2" t="str">
        <f>"冯新茗"</f>
        <v>冯新茗</v>
      </c>
      <c r="E455" s="2" t="str">
        <f>"男"</f>
        <v>男</v>
      </c>
    </row>
    <row r="456" spans="1:5" s="1" customFormat="1" ht="34.5" customHeight="1">
      <c r="A456" s="2">
        <v>454</v>
      </c>
      <c r="B456" s="2" t="str">
        <f>"35932021121520443867719"</f>
        <v>35932021121520443867719</v>
      </c>
      <c r="C456" s="2" t="s">
        <v>8</v>
      </c>
      <c r="D456" s="2" t="str">
        <f>"林凡"</f>
        <v>林凡</v>
      </c>
      <c r="E456" s="2" t="str">
        <f>"女"</f>
        <v>女</v>
      </c>
    </row>
    <row r="457" spans="1:5" s="1" customFormat="1" ht="34.5" customHeight="1">
      <c r="A457" s="2">
        <v>455</v>
      </c>
      <c r="B457" s="2" t="str">
        <f>"35932021121520524567722"</f>
        <v>35932021121520524567722</v>
      </c>
      <c r="C457" s="2" t="s">
        <v>8</v>
      </c>
      <c r="D457" s="2" t="str">
        <f>"何松洋"</f>
        <v>何松洋</v>
      </c>
      <c r="E457" s="2" t="str">
        <f>"男"</f>
        <v>男</v>
      </c>
    </row>
    <row r="458" spans="1:5" s="1" customFormat="1" ht="34.5" customHeight="1">
      <c r="A458" s="2">
        <v>456</v>
      </c>
      <c r="B458" s="2" t="str">
        <f>"35932021121521002667723"</f>
        <v>35932021121521002667723</v>
      </c>
      <c r="C458" s="2" t="s">
        <v>8</v>
      </c>
      <c r="D458" s="2" t="str">
        <f>"莫亲力"</f>
        <v>莫亲力</v>
      </c>
      <c r="E458" s="2" t="str">
        <f>"男"</f>
        <v>男</v>
      </c>
    </row>
    <row r="459" spans="1:5" s="1" customFormat="1" ht="34.5" customHeight="1">
      <c r="A459" s="2">
        <v>457</v>
      </c>
      <c r="B459" s="2" t="str">
        <f>"35932021121522310367742"</f>
        <v>35932021121522310367742</v>
      </c>
      <c r="C459" s="2" t="s">
        <v>8</v>
      </c>
      <c r="D459" s="2" t="str">
        <f>"李芸茗"</f>
        <v>李芸茗</v>
      </c>
      <c r="E459" s="2" t="str">
        <f>"男"</f>
        <v>男</v>
      </c>
    </row>
    <row r="460" spans="1:5" s="1" customFormat="1" ht="34.5" customHeight="1">
      <c r="A460" s="2">
        <v>458</v>
      </c>
      <c r="B460" s="2" t="str">
        <f>"35932021121600074467758"</f>
        <v>35932021121600074467758</v>
      </c>
      <c r="C460" s="2" t="s">
        <v>8</v>
      </c>
      <c r="D460" s="2" t="str">
        <f>"林诗境"</f>
        <v>林诗境</v>
      </c>
      <c r="E460" s="2" t="str">
        <f>"男"</f>
        <v>男</v>
      </c>
    </row>
    <row r="461" spans="1:5" s="1" customFormat="1" ht="34.5" customHeight="1">
      <c r="A461" s="2">
        <v>459</v>
      </c>
      <c r="B461" s="2" t="str">
        <f>"35932021121600113567760"</f>
        <v>35932021121600113567760</v>
      </c>
      <c r="C461" s="2" t="s">
        <v>8</v>
      </c>
      <c r="D461" s="2" t="str">
        <f>"黄前奔"</f>
        <v>黄前奔</v>
      </c>
      <c r="E461" s="2" t="str">
        <f>"男"</f>
        <v>男</v>
      </c>
    </row>
    <row r="462" spans="1:5" s="1" customFormat="1" ht="34.5" customHeight="1">
      <c r="A462" s="2">
        <v>460</v>
      </c>
      <c r="B462" s="2" t="str">
        <f>"35932021121609225967769"</f>
        <v>35932021121609225967769</v>
      </c>
      <c r="C462" s="2" t="s">
        <v>8</v>
      </c>
      <c r="D462" s="2" t="str">
        <f>"邓晰"</f>
        <v>邓晰</v>
      </c>
      <c r="E462" s="2" t="str">
        <f>"女"</f>
        <v>女</v>
      </c>
    </row>
    <row r="463" spans="1:5" s="1" customFormat="1" ht="34.5" customHeight="1">
      <c r="A463" s="2">
        <v>461</v>
      </c>
      <c r="B463" s="2" t="str">
        <f>"35932021121610193367784"</f>
        <v>35932021121610193367784</v>
      </c>
      <c r="C463" s="2" t="s">
        <v>8</v>
      </c>
      <c r="D463" s="2" t="str">
        <f>"林方玉"</f>
        <v>林方玉</v>
      </c>
      <c r="E463" s="2" t="str">
        <f>"女"</f>
        <v>女</v>
      </c>
    </row>
    <row r="464" spans="1:5" s="1" customFormat="1" ht="34.5" customHeight="1">
      <c r="A464" s="2">
        <v>462</v>
      </c>
      <c r="B464" s="2" t="str">
        <f>"35932021121610214067785"</f>
        <v>35932021121610214067785</v>
      </c>
      <c r="C464" s="2" t="s">
        <v>8</v>
      </c>
      <c r="D464" s="2" t="str">
        <f>"陈仕波"</f>
        <v>陈仕波</v>
      </c>
      <c r="E464" s="2" t="str">
        <f>"男"</f>
        <v>男</v>
      </c>
    </row>
    <row r="465" spans="1:5" s="1" customFormat="1" ht="34.5" customHeight="1">
      <c r="A465" s="2">
        <v>463</v>
      </c>
      <c r="B465" s="2" t="str">
        <f>"35932021121610465267789"</f>
        <v>35932021121610465267789</v>
      </c>
      <c r="C465" s="2" t="s">
        <v>8</v>
      </c>
      <c r="D465" s="2" t="str">
        <f>"谢立仁"</f>
        <v>谢立仁</v>
      </c>
      <c r="E465" s="2" t="str">
        <f>"男"</f>
        <v>男</v>
      </c>
    </row>
    <row r="466" spans="1:5" s="1" customFormat="1" ht="34.5" customHeight="1">
      <c r="A466" s="2">
        <v>464</v>
      </c>
      <c r="B466" s="2" t="str">
        <f>"35932021121611050367794"</f>
        <v>35932021121611050367794</v>
      </c>
      <c r="C466" s="2" t="s">
        <v>8</v>
      </c>
      <c r="D466" s="2" t="str">
        <f>"黄小春"</f>
        <v>黄小春</v>
      </c>
      <c r="E466" s="2" t="str">
        <f>"女"</f>
        <v>女</v>
      </c>
    </row>
    <row r="467" spans="1:5" s="1" customFormat="1" ht="34.5" customHeight="1">
      <c r="A467" s="2">
        <v>465</v>
      </c>
      <c r="B467" s="2" t="str">
        <f>"35932021121611180667797"</f>
        <v>35932021121611180667797</v>
      </c>
      <c r="C467" s="2" t="s">
        <v>8</v>
      </c>
      <c r="D467" s="2" t="str">
        <f>"华琛"</f>
        <v>华琛</v>
      </c>
      <c r="E467" s="2" t="str">
        <f>"男"</f>
        <v>男</v>
      </c>
    </row>
    <row r="468" spans="1:5" s="1" customFormat="1" ht="34.5" customHeight="1">
      <c r="A468" s="2">
        <v>466</v>
      </c>
      <c r="B468" s="2" t="str">
        <f>"35932021121611202267798"</f>
        <v>35932021121611202267798</v>
      </c>
      <c r="C468" s="2" t="s">
        <v>8</v>
      </c>
      <c r="D468" s="2" t="str">
        <f>"谢焕卿"</f>
        <v>谢焕卿</v>
      </c>
      <c r="E468" s="2" t="str">
        <f>"男"</f>
        <v>男</v>
      </c>
    </row>
    <row r="469" spans="1:5" s="1" customFormat="1" ht="34.5" customHeight="1">
      <c r="A469" s="2">
        <v>467</v>
      </c>
      <c r="B469" s="2" t="str">
        <f>"35932021121611241367804"</f>
        <v>35932021121611241367804</v>
      </c>
      <c r="C469" s="2" t="s">
        <v>8</v>
      </c>
      <c r="D469" s="2" t="str">
        <f>"吴英祥"</f>
        <v>吴英祥</v>
      </c>
      <c r="E469" s="2" t="str">
        <f>"男"</f>
        <v>男</v>
      </c>
    </row>
    <row r="470" spans="1:5" s="1" customFormat="1" ht="34.5" customHeight="1">
      <c r="A470" s="2">
        <v>468</v>
      </c>
      <c r="B470" s="2" t="str">
        <f>"35932021121611400767809"</f>
        <v>35932021121611400767809</v>
      </c>
      <c r="C470" s="2" t="s">
        <v>8</v>
      </c>
      <c r="D470" s="2" t="str">
        <f>"万卓浩"</f>
        <v>万卓浩</v>
      </c>
      <c r="E470" s="2" t="str">
        <f>"男"</f>
        <v>男</v>
      </c>
    </row>
    <row r="471" spans="1:5" s="1" customFormat="1" ht="34.5" customHeight="1">
      <c r="A471" s="2">
        <v>469</v>
      </c>
      <c r="B471" s="2" t="str">
        <f>"35932021121613400767832"</f>
        <v>35932021121613400767832</v>
      </c>
      <c r="C471" s="2" t="s">
        <v>8</v>
      </c>
      <c r="D471" s="2" t="str">
        <f>"赵雪娜"</f>
        <v>赵雪娜</v>
      </c>
      <c r="E471" s="2" t="str">
        <f>"女"</f>
        <v>女</v>
      </c>
    </row>
    <row r="472" spans="1:5" s="1" customFormat="1" ht="34.5" customHeight="1">
      <c r="A472" s="2">
        <v>470</v>
      </c>
      <c r="B472" s="2" t="str">
        <f>"35932021121614223367839"</f>
        <v>35932021121614223367839</v>
      </c>
      <c r="C472" s="2" t="s">
        <v>8</v>
      </c>
      <c r="D472" s="2" t="str">
        <f>"羊品雯"</f>
        <v>羊品雯</v>
      </c>
      <c r="E472" s="2" t="str">
        <f>"女"</f>
        <v>女</v>
      </c>
    </row>
    <row r="473" spans="1:5" s="1" customFormat="1" ht="34.5" customHeight="1">
      <c r="A473" s="2">
        <v>471</v>
      </c>
      <c r="B473" s="2" t="str">
        <f>"35932021121615292867845"</f>
        <v>35932021121615292867845</v>
      </c>
      <c r="C473" s="2" t="s">
        <v>8</v>
      </c>
      <c r="D473" s="2" t="str">
        <f>"符国庆"</f>
        <v>符国庆</v>
      </c>
      <c r="E473" s="2" t="str">
        <f>"男"</f>
        <v>男</v>
      </c>
    </row>
    <row r="474" spans="1:5" s="1" customFormat="1" ht="34.5" customHeight="1">
      <c r="A474" s="2">
        <v>472</v>
      </c>
      <c r="B474" s="2" t="str">
        <f>"35932021121616145667850"</f>
        <v>35932021121616145667850</v>
      </c>
      <c r="C474" s="2" t="s">
        <v>8</v>
      </c>
      <c r="D474" s="2" t="str">
        <f>"李丽红"</f>
        <v>李丽红</v>
      </c>
      <c r="E474" s="2" t="str">
        <f>"女"</f>
        <v>女</v>
      </c>
    </row>
    <row r="475" spans="1:5" s="1" customFormat="1" ht="34.5" customHeight="1">
      <c r="A475" s="2">
        <v>473</v>
      </c>
      <c r="B475" s="2" t="str">
        <f>"35932021121616222167852"</f>
        <v>35932021121616222167852</v>
      </c>
      <c r="C475" s="2" t="s">
        <v>8</v>
      </c>
      <c r="D475" s="2" t="str">
        <f>"郑相智"</f>
        <v>郑相智</v>
      </c>
      <c r="E475" s="2" t="str">
        <f>"男"</f>
        <v>男</v>
      </c>
    </row>
    <row r="476" spans="1:5" s="1" customFormat="1" ht="34.5" customHeight="1">
      <c r="A476" s="2">
        <v>474</v>
      </c>
      <c r="B476" s="2" t="str">
        <f>"35932021121616281267853"</f>
        <v>35932021121616281267853</v>
      </c>
      <c r="C476" s="2" t="s">
        <v>8</v>
      </c>
      <c r="D476" s="2" t="str">
        <f>"郑树桐"</f>
        <v>郑树桐</v>
      </c>
      <c r="E476" s="2" t="str">
        <f>"男"</f>
        <v>男</v>
      </c>
    </row>
    <row r="477" spans="1:5" s="1" customFormat="1" ht="34.5" customHeight="1">
      <c r="A477" s="2">
        <v>475</v>
      </c>
      <c r="B477" s="2" t="str">
        <f>"35932021121617445467863"</f>
        <v>35932021121617445467863</v>
      </c>
      <c r="C477" s="2" t="s">
        <v>8</v>
      </c>
      <c r="D477" s="2" t="str">
        <f>"郑喜"</f>
        <v>郑喜</v>
      </c>
      <c r="E477" s="2" t="str">
        <f>"女"</f>
        <v>女</v>
      </c>
    </row>
    <row r="478" spans="1:5" s="1" customFormat="1" ht="34.5" customHeight="1">
      <c r="A478" s="2">
        <v>476</v>
      </c>
      <c r="B478" s="2" t="str">
        <f>"35932021121617553967865"</f>
        <v>35932021121617553967865</v>
      </c>
      <c r="C478" s="2" t="s">
        <v>8</v>
      </c>
      <c r="D478" s="2" t="str">
        <f>"陈苒"</f>
        <v>陈苒</v>
      </c>
      <c r="E478" s="2" t="str">
        <f>"女"</f>
        <v>女</v>
      </c>
    </row>
    <row r="479" spans="1:5" s="1" customFormat="1" ht="34.5" customHeight="1">
      <c r="A479" s="2">
        <v>477</v>
      </c>
      <c r="B479" s="2" t="str">
        <f>"35932021121618210967870"</f>
        <v>35932021121618210967870</v>
      </c>
      <c r="C479" s="2" t="s">
        <v>8</v>
      </c>
      <c r="D479" s="2" t="str">
        <f>"梁祺"</f>
        <v>梁祺</v>
      </c>
      <c r="E479" s="2" t="str">
        <f>"男"</f>
        <v>男</v>
      </c>
    </row>
    <row r="480" spans="1:5" s="1" customFormat="1" ht="34.5" customHeight="1">
      <c r="A480" s="2">
        <v>478</v>
      </c>
      <c r="B480" s="2" t="str">
        <f>"35932021121618312667871"</f>
        <v>35932021121618312667871</v>
      </c>
      <c r="C480" s="2" t="s">
        <v>8</v>
      </c>
      <c r="D480" s="2" t="str">
        <f>"李志明"</f>
        <v>李志明</v>
      </c>
      <c r="E480" s="2" t="str">
        <f>"男"</f>
        <v>男</v>
      </c>
    </row>
    <row r="481" spans="1:5" s="1" customFormat="1" ht="34.5" customHeight="1">
      <c r="A481" s="2">
        <v>479</v>
      </c>
      <c r="B481" s="2" t="str">
        <f>"35932021121621405167897"</f>
        <v>35932021121621405167897</v>
      </c>
      <c r="C481" s="2" t="s">
        <v>8</v>
      </c>
      <c r="D481" s="2" t="str">
        <f>"林泽贵"</f>
        <v>林泽贵</v>
      </c>
      <c r="E481" s="2" t="str">
        <f>"男"</f>
        <v>男</v>
      </c>
    </row>
    <row r="482" spans="1:5" s="1" customFormat="1" ht="34.5" customHeight="1">
      <c r="A482" s="2">
        <v>480</v>
      </c>
      <c r="B482" s="2" t="str">
        <f>"35932021121622045367902"</f>
        <v>35932021121622045367902</v>
      </c>
      <c r="C482" s="2" t="s">
        <v>8</v>
      </c>
      <c r="D482" s="2" t="str">
        <f>"郭金珠"</f>
        <v>郭金珠</v>
      </c>
      <c r="E482" s="2" t="str">
        <f>"女"</f>
        <v>女</v>
      </c>
    </row>
    <row r="483" spans="1:5" s="1" customFormat="1" ht="34.5" customHeight="1">
      <c r="A483" s="2">
        <v>481</v>
      </c>
      <c r="B483" s="2" t="str">
        <f>"35932021121623311567915"</f>
        <v>35932021121623311567915</v>
      </c>
      <c r="C483" s="2" t="s">
        <v>8</v>
      </c>
      <c r="D483" s="2" t="str">
        <f>"吴少敏"</f>
        <v>吴少敏</v>
      </c>
      <c r="E483" s="2" t="str">
        <f>"女"</f>
        <v>女</v>
      </c>
    </row>
    <row r="484" spans="1:5" s="1" customFormat="1" ht="34.5" customHeight="1">
      <c r="A484" s="2">
        <v>482</v>
      </c>
      <c r="B484" s="2" t="str">
        <f>"35932021121623442767916"</f>
        <v>35932021121623442767916</v>
      </c>
      <c r="C484" s="2" t="s">
        <v>8</v>
      </c>
      <c r="D484" s="2" t="str">
        <f>"吴多富"</f>
        <v>吴多富</v>
      </c>
      <c r="E484" s="2" t="str">
        <f>"男"</f>
        <v>男</v>
      </c>
    </row>
    <row r="485" spans="1:5" s="1" customFormat="1" ht="34.5" customHeight="1">
      <c r="A485" s="2">
        <v>483</v>
      </c>
      <c r="B485" s="2" t="str">
        <f>"35932021121709171567926"</f>
        <v>35932021121709171567926</v>
      </c>
      <c r="C485" s="2" t="s">
        <v>8</v>
      </c>
      <c r="D485" s="2" t="str">
        <f>"冯启佳"</f>
        <v>冯启佳</v>
      </c>
      <c r="E485" s="2" t="str">
        <f>"男"</f>
        <v>男</v>
      </c>
    </row>
    <row r="486" spans="1:5" s="1" customFormat="1" ht="34.5" customHeight="1">
      <c r="A486" s="2">
        <v>484</v>
      </c>
      <c r="B486" s="2" t="str">
        <f>"35932021121710520767936"</f>
        <v>35932021121710520767936</v>
      </c>
      <c r="C486" s="2" t="s">
        <v>8</v>
      </c>
      <c r="D486" s="2" t="str">
        <f>"刘亦如"</f>
        <v>刘亦如</v>
      </c>
      <c r="E486" s="2" t="str">
        <f>"女"</f>
        <v>女</v>
      </c>
    </row>
    <row r="487" spans="1:5" s="1" customFormat="1" ht="34.5" customHeight="1">
      <c r="A487" s="2">
        <v>485</v>
      </c>
      <c r="B487" s="2" t="str">
        <f>"35932021121711012867938"</f>
        <v>35932021121711012867938</v>
      </c>
      <c r="C487" s="2" t="s">
        <v>8</v>
      </c>
      <c r="D487" s="2" t="str">
        <f>"曾德能"</f>
        <v>曾德能</v>
      </c>
      <c r="E487" s="2" t="str">
        <f>"男"</f>
        <v>男</v>
      </c>
    </row>
    <row r="488" spans="1:5" s="1" customFormat="1" ht="34.5" customHeight="1">
      <c r="A488" s="2">
        <v>486</v>
      </c>
      <c r="B488" s="2" t="str">
        <f>"35932021121713414967964"</f>
        <v>35932021121713414967964</v>
      </c>
      <c r="C488" s="2" t="s">
        <v>8</v>
      </c>
      <c r="D488" s="2" t="str">
        <f>"郑祖家"</f>
        <v>郑祖家</v>
      </c>
      <c r="E488" s="2" t="str">
        <f>"男"</f>
        <v>男</v>
      </c>
    </row>
    <row r="489" spans="1:5" s="1" customFormat="1" ht="34.5" customHeight="1">
      <c r="A489" s="2">
        <v>487</v>
      </c>
      <c r="B489" s="2" t="str">
        <f>"35932021121714225567968"</f>
        <v>35932021121714225567968</v>
      </c>
      <c r="C489" s="2" t="s">
        <v>8</v>
      </c>
      <c r="D489" s="2" t="str">
        <f>"羊精月"</f>
        <v>羊精月</v>
      </c>
      <c r="E489" s="2" t="str">
        <f>"女"</f>
        <v>女</v>
      </c>
    </row>
    <row r="490" spans="1:5" s="1" customFormat="1" ht="34.5" customHeight="1">
      <c r="A490" s="2">
        <v>488</v>
      </c>
      <c r="B490" s="2" t="str">
        <f>"35932021121714241967969"</f>
        <v>35932021121714241967969</v>
      </c>
      <c r="C490" s="2" t="s">
        <v>8</v>
      </c>
      <c r="D490" s="2" t="str">
        <f>"程若轩"</f>
        <v>程若轩</v>
      </c>
      <c r="E490" s="2" t="str">
        <f>"男"</f>
        <v>男</v>
      </c>
    </row>
    <row r="491" spans="1:5" s="1" customFormat="1" ht="34.5" customHeight="1">
      <c r="A491" s="2">
        <v>489</v>
      </c>
      <c r="B491" s="2" t="str">
        <f>"35932021121715004567972"</f>
        <v>35932021121715004567972</v>
      </c>
      <c r="C491" s="2" t="s">
        <v>8</v>
      </c>
      <c r="D491" s="2" t="str">
        <f>"袁璐"</f>
        <v>袁璐</v>
      </c>
      <c r="E491" s="2" t="str">
        <f>"女"</f>
        <v>女</v>
      </c>
    </row>
    <row r="492" spans="1:5" s="1" customFormat="1" ht="34.5" customHeight="1">
      <c r="A492" s="2">
        <v>490</v>
      </c>
      <c r="B492" s="2" t="str">
        <f>"35932021121715042767973"</f>
        <v>35932021121715042767973</v>
      </c>
      <c r="C492" s="2" t="s">
        <v>8</v>
      </c>
      <c r="D492" s="2" t="str">
        <f>"刘春余"</f>
        <v>刘春余</v>
      </c>
      <c r="E492" s="2" t="str">
        <f>"女"</f>
        <v>女</v>
      </c>
    </row>
    <row r="493" spans="1:5" s="1" customFormat="1" ht="34.5" customHeight="1">
      <c r="A493" s="2">
        <v>491</v>
      </c>
      <c r="B493" s="2" t="str">
        <f>"35932021121715482167987"</f>
        <v>35932021121715482167987</v>
      </c>
      <c r="C493" s="2" t="s">
        <v>8</v>
      </c>
      <c r="D493" s="2" t="str">
        <f>"赵绵笙"</f>
        <v>赵绵笙</v>
      </c>
      <c r="E493" s="2" t="str">
        <f>"男"</f>
        <v>男</v>
      </c>
    </row>
    <row r="494" spans="1:5" s="1" customFormat="1" ht="34.5" customHeight="1">
      <c r="A494" s="2">
        <v>492</v>
      </c>
      <c r="B494" s="2" t="str">
        <f>"35932021121716290367995"</f>
        <v>35932021121716290367995</v>
      </c>
      <c r="C494" s="2" t="s">
        <v>8</v>
      </c>
      <c r="D494" s="2" t="str">
        <f>"林秋晨"</f>
        <v>林秋晨</v>
      </c>
      <c r="E494" s="2" t="str">
        <f>"女"</f>
        <v>女</v>
      </c>
    </row>
    <row r="495" spans="1:5" s="1" customFormat="1" ht="34.5" customHeight="1">
      <c r="A495" s="2">
        <v>493</v>
      </c>
      <c r="B495" s="2" t="str">
        <f>"35932021121717223968004"</f>
        <v>35932021121717223968004</v>
      </c>
      <c r="C495" s="2" t="s">
        <v>8</v>
      </c>
      <c r="D495" s="2" t="str">
        <f>"陈雅婷"</f>
        <v>陈雅婷</v>
      </c>
      <c r="E495" s="2" t="str">
        <f>"女"</f>
        <v>女</v>
      </c>
    </row>
    <row r="496" spans="1:5" s="1" customFormat="1" ht="34.5" customHeight="1">
      <c r="A496" s="2">
        <v>494</v>
      </c>
      <c r="B496" s="2" t="str">
        <f>"35932021121720370468020"</f>
        <v>35932021121720370468020</v>
      </c>
      <c r="C496" s="2" t="s">
        <v>8</v>
      </c>
      <c r="D496" s="2" t="str">
        <f>"高富升"</f>
        <v>高富升</v>
      </c>
      <c r="E496" s="2" t="str">
        <f>"男"</f>
        <v>男</v>
      </c>
    </row>
    <row r="497" spans="1:5" s="1" customFormat="1" ht="34.5" customHeight="1">
      <c r="A497" s="2">
        <v>495</v>
      </c>
      <c r="B497" s="2" t="str">
        <f>"35932021121721031868025"</f>
        <v>35932021121721031868025</v>
      </c>
      <c r="C497" s="2" t="s">
        <v>8</v>
      </c>
      <c r="D497" s="2" t="str">
        <f>"任奕霏"</f>
        <v>任奕霏</v>
      </c>
      <c r="E497" s="2" t="str">
        <f>"女"</f>
        <v>女</v>
      </c>
    </row>
    <row r="498" spans="1:5" s="1" customFormat="1" ht="34.5" customHeight="1">
      <c r="A498" s="2">
        <v>496</v>
      </c>
      <c r="B498" s="2" t="str">
        <f>"35932021121722124768036"</f>
        <v>35932021121722124768036</v>
      </c>
      <c r="C498" s="2" t="s">
        <v>8</v>
      </c>
      <c r="D498" s="2" t="str">
        <f>"欧敬诚"</f>
        <v>欧敬诚</v>
      </c>
      <c r="E498" s="2" t="str">
        <f>"男"</f>
        <v>男</v>
      </c>
    </row>
    <row r="499" spans="1:5" s="1" customFormat="1" ht="34.5" customHeight="1">
      <c r="A499" s="2">
        <v>497</v>
      </c>
      <c r="B499" s="2" t="str">
        <f>"35932021121800205368055"</f>
        <v>35932021121800205368055</v>
      </c>
      <c r="C499" s="2" t="s">
        <v>8</v>
      </c>
      <c r="D499" s="2" t="str">
        <f>"罗颖姗"</f>
        <v>罗颖姗</v>
      </c>
      <c r="E499" s="2" t="str">
        <f>"女"</f>
        <v>女</v>
      </c>
    </row>
    <row r="500" spans="1:5" s="1" customFormat="1" ht="34.5" customHeight="1">
      <c r="A500" s="2">
        <v>498</v>
      </c>
      <c r="B500" s="2" t="str">
        <f>"35932021121800235368056"</f>
        <v>35932021121800235368056</v>
      </c>
      <c r="C500" s="2" t="s">
        <v>8</v>
      </c>
      <c r="D500" s="2" t="str">
        <f>"郑义晖"</f>
        <v>郑义晖</v>
      </c>
      <c r="E500" s="2" t="str">
        <f>"男"</f>
        <v>男</v>
      </c>
    </row>
    <row r="501" spans="1:5" s="1" customFormat="1" ht="34.5" customHeight="1">
      <c r="A501" s="2">
        <v>499</v>
      </c>
      <c r="B501" s="2" t="str">
        <f>"35932021121808480968065"</f>
        <v>35932021121808480968065</v>
      </c>
      <c r="C501" s="2" t="s">
        <v>8</v>
      </c>
      <c r="D501" s="2" t="str">
        <f>"张鹏"</f>
        <v>张鹏</v>
      </c>
      <c r="E501" s="2" t="str">
        <f>"男"</f>
        <v>男</v>
      </c>
    </row>
    <row r="502" spans="1:5" s="1" customFormat="1" ht="34.5" customHeight="1">
      <c r="A502" s="2">
        <v>500</v>
      </c>
      <c r="B502" s="2" t="str">
        <f>"35932021121809525068090"</f>
        <v>35932021121809525068090</v>
      </c>
      <c r="C502" s="2" t="s">
        <v>8</v>
      </c>
      <c r="D502" s="2" t="str">
        <f>"陈高民"</f>
        <v>陈高民</v>
      </c>
      <c r="E502" s="2" t="str">
        <f>"男"</f>
        <v>男</v>
      </c>
    </row>
    <row r="503" spans="1:5" s="1" customFormat="1" ht="34.5" customHeight="1">
      <c r="A503" s="2">
        <v>501</v>
      </c>
      <c r="B503" s="2" t="str">
        <f>"35932021121810054668097"</f>
        <v>35932021121810054668097</v>
      </c>
      <c r="C503" s="2" t="s">
        <v>8</v>
      </c>
      <c r="D503" s="2" t="str">
        <f>"许声彬"</f>
        <v>许声彬</v>
      </c>
      <c r="E503" s="2" t="str">
        <f>"男"</f>
        <v>男</v>
      </c>
    </row>
    <row r="504" spans="1:5" s="1" customFormat="1" ht="34.5" customHeight="1">
      <c r="A504" s="2">
        <v>502</v>
      </c>
      <c r="B504" s="2" t="str">
        <f>"35932021121810212368103"</f>
        <v>35932021121810212368103</v>
      </c>
      <c r="C504" s="2" t="s">
        <v>8</v>
      </c>
      <c r="D504" s="2" t="str">
        <f>"卓诗琦"</f>
        <v>卓诗琦</v>
      </c>
      <c r="E504" s="2" t="str">
        <f>"女"</f>
        <v>女</v>
      </c>
    </row>
    <row r="505" spans="1:5" s="1" customFormat="1" ht="34.5" customHeight="1">
      <c r="A505" s="2">
        <v>503</v>
      </c>
      <c r="B505" s="2" t="str">
        <f>"35932021121810445368112"</f>
        <v>35932021121810445368112</v>
      </c>
      <c r="C505" s="2" t="s">
        <v>8</v>
      </c>
      <c r="D505" s="2" t="str">
        <f>"王远善"</f>
        <v>王远善</v>
      </c>
      <c r="E505" s="2" t="str">
        <f>"男"</f>
        <v>男</v>
      </c>
    </row>
    <row r="506" spans="1:5" s="1" customFormat="1" ht="34.5" customHeight="1">
      <c r="A506" s="2">
        <v>504</v>
      </c>
      <c r="B506" s="2" t="str">
        <f>"35932021121811193868122"</f>
        <v>35932021121811193868122</v>
      </c>
      <c r="C506" s="2" t="s">
        <v>8</v>
      </c>
      <c r="D506" s="2" t="str">
        <f>"李永哲"</f>
        <v>李永哲</v>
      </c>
      <c r="E506" s="2" t="str">
        <f>"男"</f>
        <v>男</v>
      </c>
    </row>
    <row r="507" spans="1:5" s="1" customFormat="1" ht="34.5" customHeight="1">
      <c r="A507" s="2">
        <v>505</v>
      </c>
      <c r="B507" s="2" t="str">
        <f>"35932021121812323668148"</f>
        <v>35932021121812323668148</v>
      </c>
      <c r="C507" s="2" t="s">
        <v>8</v>
      </c>
      <c r="D507" s="2" t="str">
        <f>"黄香演"</f>
        <v>黄香演</v>
      </c>
      <c r="E507" s="2" t="str">
        <f>"男"</f>
        <v>男</v>
      </c>
    </row>
    <row r="508" spans="1:5" s="1" customFormat="1" ht="34.5" customHeight="1">
      <c r="A508" s="2">
        <v>506</v>
      </c>
      <c r="B508" s="2" t="str">
        <f>"35932021121813103368158"</f>
        <v>35932021121813103368158</v>
      </c>
      <c r="C508" s="2" t="s">
        <v>8</v>
      </c>
      <c r="D508" s="2" t="str">
        <f>"徐月圆"</f>
        <v>徐月圆</v>
      </c>
      <c r="E508" s="2" t="str">
        <f>"女"</f>
        <v>女</v>
      </c>
    </row>
    <row r="509" spans="1:5" s="1" customFormat="1" ht="34.5" customHeight="1">
      <c r="A509" s="2">
        <v>507</v>
      </c>
      <c r="B509" s="2" t="str">
        <f>"35932021121814413868177"</f>
        <v>35932021121814413868177</v>
      </c>
      <c r="C509" s="2" t="s">
        <v>8</v>
      </c>
      <c r="D509" s="2" t="str">
        <f>"黄梦诗"</f>
        <v>黄梦诗</v>
      </c>
      <c r="E509" s="2" t="str">
        <f>"女"</f>
        <v>女</v>
      </c>
    </row>
    <row r="510" spans="1:5" s="1" customFormat="1" ht="34.5" customHeight="1">
      <c r="A510" s="2">
        <v>508</v>
      </c>
      <c r="B510" s="2" t="str">
        <f>"35932021121815193968184"</f>
        <v>35932021121815193968184</v>
      </c>
      <c r="C510" s="2" t="s">
        <v>8</v>
      </c>
      <c r="D510" s="2" t="str">
        <f>"秦子贞"</f>
        <v>秦子贞</v>
      </c>
      <c r="E510" s="2" t="str">
        <f>"男"</f>
        <v>男</v>
      </c>
    </row>
    <row r="511" spans="1:5" s="1" customFormat="1" ht="34.5" customHeight="1">
      <c r="A511" s="2">
        <v>509</v>
      </c>
      <c r="B511" s="2" t="str">
        <f>"35932021121815254368185"</f>
        <v>35932021121815254368185</v>
      </c>
      <c r="C511" s="2" t="s">
        <v>8</v>
      </c>
      <c r="D511" s="2" t="str">
        <f>"廖宝通"</f>
        <v>廖宝通</v>
      </c>
      <c r="E511" s="2" t="str">
        <f>"男"</f>
        <v>男</v>
      </c>
    </row>
    <row r="512" spans="1:5" s="1" customFormat="1" ht="34.5" customHeight="1">
      <c r="A512" s="2">
        <v>510</v>
      </c>
      <c r="B512" s="2" t="str">
        <f>"35932021121816342068201"</f>
        <v>35932021121816342068201</v>
      </c>
      <c r="C512" s="2" t="s">
        <v>8</v>
      </c>
      <c r="D512" s="2" t="str">
        <f>"陈明发"</f>
        <v>陈明发</v>
      </c>
      <c r="E512" s="2" t="str">
        <f>"男"</f>
        <v>男</v>
      </c>
    </row>
    <row r="513" spans="1:5" s="1" customFormat="1" ht="34.5" customHeight="1">
      <c r="A513" s="2">
        <v>511</v>
      </c>
      <c r="B513" s="2" t="str">
        <f>"35932021121816571268213"</f>
        <v>35932021121816571268213</v>
      </c>
      <c r="C513" s="2" t="s">
        <v>8</v>
      </c>
      <c r="D513" s="2" t="str">
        <f>"张瑞"</f>
        <v>张瑞</v>
      </c>
      <c r="E513" s="2" t="str">
        <f>"女"</f>
        <v>女</v>
      </c>
    </row>
    <row r="514" spans="1:5" s="1" customFormat="1" ht="34.5" customHeight="1">
      <c r="A514" s="2">
        <v>512</v>
      </c>
      <c r="B514" s="2" t="str">
        <f>"35932021121817000768215"</f>
        <v>35932021121817000768215</v>
      </c>
      <c r="C514" s="2" t="s">
        <v>8</v>
      </c>
      <c r="D514" s="2" t="str">
        <f>"邢增乐"</f>
        <v>邢增乐</v>
      </c>
      <c r="E514" s="2" t="str">
        <f>"男"</f>
        <v>男</v>
      </c>
    </row>
    <row r="515" spans="1:5" s="1" customFormat="1" ht="34.5" customHeight="1">
      <c r="A515" s="2">
        <v>513</v>
      </c>
      <c r="B515" s="2" t="str">
        <f>"35932021121817011768216"</f>
        <v>35932021121817011768216</v>
      </c>
      <c r="C515" s="2" t="s">
        <v>8</v>
      </c>
      <c r="D515" s="2" t="str">
        <f>"王浩"</f>
        <v>王浩</v>
      </c>
      <c r="E515" s="2" t="str">
        <f>"男"</f>
        <v>男</v>
      </c>
    </row>
    <row r="516" spans="1:5" s="1" customFormat="1" ht="34.5" customHeight="1">
      <c r="A516" s="2">
        <v>514</v>
      </c>
      <c r="B516" s="2" t="str">
        <f>"35932021121817280868226"</f>
        <v>35932021121817280868226</v>
      </c>
      <c r="C516" s="2" t="s">
        <v>8</v>
      </c>
      <c r="D516" s="2" t="str">
        <f>"甘美琪"</f>
        <v>甘美琪</v>
      </c>
      <c r="E516" s="2" t="str">
        <f>"女"</f>
        <v>女</v>
      </c>
    </row>
    <row r="517" spans="1:5" s="1" customFormat="1" ht="34.5" customHeight="1">
      <c r="A517" s="2">
        <v>515</v>
      </c>
      <c r="B517" s="2" t="str">
        <f>"35932021121817285168228"</f>
        <v>35932021121817285168228</v>
      </c>
      <c r="C517" s="2" t="s">
        <v>8</v>
      </c>
      <c r="D517" s="2" t="str">
        <f>"赵佳"</f>
        <v>赵佳</v>
      </c>
      <c r="E517" s="2" t="str">
        <f>"女"</f>
        <v>女</v>
      </c>
    </row>
    <row r="518" spans="1:5" s="1" customFormat="1" ht="34.5" customHeight="1">
      <c r="A518" s="2">
        <v>516</v>
      </c>
      <c r="B518" s="2" t="str">
        <f>"35932021121817330668231"</f>
        <v>35932021121817330668231</v>
      </c>
      <c r="C518" s="2" t="s">
        <v>8</v>
      </c>
      <c r="D518" s="2" t="str">
        <f>"吴海云"</f>
        <v>吴海云</v>
      </c>
      <c r="E518" s="2" t="str">
        <f>"女"</f>
        <v>女</v>
      </c>
    </row>
    <row r="519" spans="1:5" s="1" customFormat="1" ht="34.5" customHeight="1">
      <c r="A519" s="2">
        <v>517</v>
      </c>
      <c r="B519" s="2" t="str">
        <f>"35932021121817423768232"</f>
        <v>35932021121817423768232</v>
      </c>
      <c r="C519" s="2" t="s">
        <v>8</v>
      </c>
      <c r="D519" s="2" t="str">
        <f>"柯行汉"</f>
        <v>柯行汉</v>
      </c>
      <c r="E519" s="2" t="str">
        <f>"男"</f>
        <v>男</v>
      </c>
    </row>
    <row r="520" spans="1:5" s="1" customFormat="1" ht="34.5" customHeight="1">
      <c r="A520" s="2">
        <v>518</v>
      </c>
      <c r="B520" s="2" t="str">
        <f>"35932021121817532268237"</f>
        <v>35932021121817532268237</v>
      </c>
      <c r="C520" s="2" t="s">
        <v>8</v>
      </c>
      <c r="D520" s="2" t="str">
        <f>"黄芳"</f>
        <v>黄芳</v>
      </c>
      <c r="E520" s="2" t="str">
        <f>"女"</f>
        <v>女</v>
      </c>
    </row>
    <row r="521" spans="1:5" s="1" customFormat="1" ht="34.5" customHeight="1">
      <c r="A521" s="2">
        <v>519</v>
      </c>
      <c r="B521" s="2" t="str">
        <f>"35932021121818072468241"</f>
        <v>35932021121818072468241</v>
      </c>
      <c r="C521" s="2" t="s">
        <v>8</v>
      </c>
      <c r="D521" s="2" t="str">
        <f>"岑菲"</f>
        <v>岑菲</v>
      </c>
      <c r="E521" s="2" t="str">
        <f>"女"</f>
        <v>女</v>
      </c>
    </row>
    <row r="522" spans="1:5" s="1" customFormat="1" ht="34.5" customHeight="1">
      <c r="A522" s="2">
        <v>520</v>
      </c>
      <c r="B522" s="2" t="str">
        <f>"35932021121818165368242"</f>
        <v>35932021121818165368242</v>
      </c>
      <c r="C522" s="2" t="s">
        <v>8</v>
      </c>
      <c r="D522" s="2" t="str">
        <f>"李娇玉"</f>
        <v>李娇玉</v>
      </c>
      <c r="E522" s="2" t="str">
        <f>"女"</f>
        <v>女</v>
      </c>
    </row>
    <row r="523" spans="1:5" s="1" customFormat="1" ht="34.5" customHeight="1">
      <c r="A523" s="2">
        <v>521</v>
      </c>
      <c r="B523" s="2" t="str">
        <f>"35932021121818504868250"</f>
        <v>35932021121818504868250</v>
      </c>
      <c r="C523" s="2" t="s">
        <v>8</v>
      </c>
      <c r="D523" s="2" t="str">
        <f>"王咨凯"</f>
        <v>王咨凯</v>
      </c>
      <c r="E523" s="2" t="str">
        <f>"男"</f>
        <v>男</v>
      </c>
    </row>
    <row r="524" spans="1:5" s="1" customFormat="1" ht="34.5" customHeight="1">
      <c r="A524" s="2">
        <v>522</v>
      </c>
      <c r="B524" s="2" t="str">
        <f>"35932021121818544568251"</f>
        <v>35932021121818544568251</v>
      </c>
      <c r="C524" s="2" t="s">
        <v>8</v>
      </c>
      <c r="D524" s="2" t="str">
        <f>"陈惠"</f>
        <v>陈惠</v>
      </c>
      <c r="E524" s="2" t="str">
        <f>"女"</f>
        <v>女</v>
      </c>
    </row>
    <row r="525" spans="1:5" s="1" customFormat="1" ht="34.5" customHeight="1">
      <c r="A525" s="2">
        <v>523</v>
      </c>
      <c r="B525" s="2" t="str">
        <f>"35932021121819185868257"</f>
        <v>35932021121819185868257</v>
      </c>
      <c r="C525" s="2" t="s">
        <v>8</v>
      </c>
      <c r="D525" s="2" t="str">
        <f>"王登顺"</f>
        <v>王登顺</v>
      </c>
      <c r="E525" s="2" t="str">
        <f>"男"</f>
        <v>男</v>
      </c>
    </row>
    <row r="526" spans="1:5" s="1" customFormat="1" ht="34.5" customHeight="1">
      <c r="A526" s="2">
        <v>524</v>
      </c>
      <c r="B526" s="2" t="str">
        <f>"35932021121819543168268"</f>
        <v>35932021121819543168268</v>
      </c>
      <c r="C526" s="2" t="s">
        <v>8</v>
      </c>
      <c r="D526" s="2" t="str">
        <f>"王后达"</f>
        <v>王后达</v>
      </c>
      <c r="E526" s="2" t="str">
        <f>"男"</f>
        <v>男</v>
      </c>
    </row>
    <row r="527" spans="1:5" s="1" customFormat="1" ht="34.5" customHeight="1">
      <c r="A527" s="2">
        <v>525</v>
      </c>
      <c r="B527" s="2" t="str">
        <f>"35932021121819575368269"</f>
        <v>35932021121819575368269</v>
      </c>
      <c r="C527" s="2" t="s">
        <v>8</v>
      </c>
      <c r="D527" s="2" t="str">
        <f>"陈利琳"</f>
        <v>陈利琳</v>
      </c>
      <c r="E527" s="2" t="str">
        <f>"女"</f>
        <v>女</v>
      </c>
    </row>
    <row r="528" spans="1:5" s="1" customFormat="1" ht="34.5" customHeight="1">
      <c r="A528" s="2">
        <v>526</v>
      </c>
      <c r="B528" s="2" t="str">
        <f>"35932021121820224168278"</f>
        <v>35932021121820224168278</v>
      </c>
      <c r="C528" s="2" t="s">
        <v>8</v>
      </c>
      <c r="D528" s="2" t="str">
        <f>"张育荣"</f>
        <v>张育荣</v>
      </c>
      <c r="E528" s="2" t="str">
        <f>"男"</f>
        <v>男</v>
      </c>
    </row>
    <row r="529" spans="1:5" s="1" customFormat="1" ht="34.5" customHeight="1">
      <c r="A529" s="2">
        <v>527</v>
      </c>
      <c r="B529" s="2" t="str">
        <f>"35932021121820321168280"</f>
        <v>35932021121820321168280</v>
      </c>
      <c r="C529" s="2" t="s">
        <v>8</v>
      </c>
      <c r="D529" s="2" t="str">
        <f>"邢曾琼"</f>
        <v>邢曾琼</v>
      </c>
      <c r="E529" s="2" t="str">
        <f>"女"</f>
        <v>女</v>
      </c>
    </row>
    <row r="530" spans="1:5" s="1" customFormat="1" ht="34.5" customHeight="1">
      <c r="A530" s="2">
        <v>528</v>
      </c>
      <c r="B530" s="2" t="str">
        <f>"35932021121820374868282"</f>
        <v>35932021121820374868282</v>
      </c>
      <c r="C530" s="2" t="s">
        <v>8</v>
      </c>
      <c r="D530" s="2" t="str">
        <f>"李波"</f>
        <v>李波</v>
      </c>
      <c r="E530" s="2" t="str">
        <f>"男"</f>
        <v>男</v>
      </c>
    </row>
    <row r="531" spans="1:5" s="1" customFormat="1" ht="34.5" customHeight="1">
      <c r="A531" s="2">
        <v>529</v>
      </c>
      <c r="B531" s="2" t="str">
        <f>"35932021121821274568298"</f>
        <v>35932021121821274568298</v>
      </c>
      <c r="C531" s="2" t="s">
        <v>8</v>
      </c>
      <c r="D531" s="2" t="str">
        <f>"符传明"</f>
        <v>符传明</v>
      </c>
      <c r="E531" s="2" t="str">
        <f>"男"</f>
        <v>男</v>
      </c>
    </row>
    <row r="532" spans="1:5" s="1" customFormat="1" ht="34.5" customHeight="1">
      <c r="A532" s="2">
        <v>530</v>
      </c>
      <c r="B532" s="2" t="str">
        <f>"35932021121822154568304"</f>
        <v>35932021121822154568304</v>
      </c>
      <c r="C532" s="2" t="s">
        <v>8</v>
      </c>
      <c r="D532" s="2" t="str">
        <f>"方娜"</f>
        <v>方娜</v>
      </c>
      <c r="E532" s="2" t="str">
        <f>"女"</f>
        <v>女</v>
      </c>
    </row>
    <row r="533" spans="1:5" s="1" customFormat="1" ht="34.5" customHeight="1">
      <c r="A533" s="2">
        <v>531</v>
      </c>
      <c r="B533" s="2" t="str">
        <f>"35932021121822183568306"</f>
        <v>35932021121822183568306</v>
      </c>
      <c r="C533" s="2" t="s">
        <v>8</v>
      </c>
      <c r="D533" s="2" t="str">
        <f>"黄兵兵"</f>
        <v>黄兵兵</v>
      </c>
      <c r="E533" s="2" t="str">
        <f aca="true" t="shared" si="11" ref="E533:E539">"男"</f>
        <v>男</v>
      </c>
    </row>
    <row r="534" spans="1:5" s="1" customFormat="1" ht="34.5" customHeight="1">
      <c r="A534" s="2">
        <v>532</v>
      </c>
      <c r="B534" s="2" t="str">
        <f>"35932021121822445368318"</f>
        <v>35932021121822445368318</v>
      </c>
      <c r="C534" s="2" t="s">
        <v>8</v>
      </c>
      <c r="D534" s="2" t="str">
        <f>"林道保"</f>
        <v>林道保</v>
      </c>
      <c r="E534" s="2" t="str">
        <f t="shared" si="11"/>
        <v>男</v>
      </c>
    </row>
    <row r="535" spans="1:5" s="1" customFormat="1" ht="34.5" customHeight="1">
      <c r="A535" s="2">
        <v>533</v>
      </c>
      <c r="B535" s="2" t="str">
        <f>"35932021121822462168319"</f>
        <v>35932021121822462168319</v>
      </c>
      <c r="C535" s="2" t="s">
        <v>8</v>
      </c>
      <c r="D535" s="2" t="str">
        <f>"李天录"</f>
        <v>李天录</v>
      </c>
      <c r="E535" s="2" t="str">
        <f t="shared" si="11"/>
        <v>男</v>
      </c>
    </row>
    <row r="536" spans="1:5" s="1" customFormat="1" ht="34.5" customHeight="1">
      <c r="A536" s="2">
        <v>534</v>
      </c>
      <c r="B536" s="2" t="str">
        <f>"35932021121900030968335"</f>
        <v>35932021121900030968335</v>
      </c>
      <c r="C536" s="2" t="s">
        <v>8</v>
      </c>
      <c r="D536" s="2" t="str">
        <f>"刘雄"</f>
        <v>刘雄</v>
      </c>
      <c r="E536" s="2" t="str">
        <f t="shared" si="11"/>
        <v>男</v>
      </c>
    </row>
    <row r="537" spans="1:5" s="1" customFormat="1" ht="34.5" customHeight="1">
      <c r="A537" s="2">
        <v>535</v>
      </c>
      <c r="B537" s="2" t="str">
        <f>"35932021121900114668337"</f>
        <v>35932021121900114668337</v>
      </c>
      <c r="C537" s="2" t="s">
        <v>8</v>
      </c>
      <c r="D537" s="2" t="str">
        <f>"陈业璞"</f>
        <v>陈业璞</v>
      </c>
      <c r="E537" s="2" t="str">
        <f t="shared" si="11"/>
        <v>男</v>
      </c>
    </row>
    <row r="538" spans="1:5" s="1" customFormat="1" ht="34.5" customHeight="1">
      <c r="A538" s="2">
        <v>536</v>
      </c>
      <c r="B538" s="2" t="str">
        <f>"35932021121900382868338"</f>
        <v>35932021121900382868338</v>
      </c>
      <c r="C538" s="2" t="s">
        <v>8</v>
      </c>
      <c r="D538" s="2" t="str">
        <f>"冼永祥"</f>
        <v>冼永祥</v>
      </c>
      <c r="E538" s="2" t="str">
        <f t="shared" si="11"/>
        <v>男</v>
      </c>
    </row>
    <row r="539" spans="1:5" s="1" customFormat="1" ht="34.5" customHeight="1">
      <c r="A539" s="2">
        <v>537</v>
      </c>
      <c r="B539" s="2" t="str">
        <f>"35932021121909502168374"</f>
        <v>35932021121909502168374</v>
      </c>
      <c r="C539" s="2" t="s">
        <v>8</v>
      </c>
      <c r="D539" s="2" t="str">
        <f>"吴克华"</f>
        <v>吴克华</v>
      </c>
      <c r="E539" s="2" t="str">
        <f t="shared" si="11"/>
        <v>男</v>
      </c>
    </row>
    <row r="540" spans="1:5" s="1" customFormat="1" ht="34.5" customHeight="1">
      <c r="A540" s="2">
        <v>538</v>
      </c>
      <c r="B540" s="2" t="str">
        <f>"35932021121910274068392"</f>
        <v>35932021121910274068392</v>
      </c>
      <c r="C540" s="2" t="s">
        <v>8</v>
      </c>
      <c r="D540" s="2" t="str">
        <f>"杜春娜"</f>
        <v>杜春娜</v>
      </c>
      <c r="E540" s="2" t="str">
        <f>"女"</f>
        <v>女</v>
      </c>
    </row>
    <row r="541" spans="1:5" s="1" customFormat="1" ht="34.5" customHeight="1">
      <c r="A541" s="2">
        <v>539</v>
      </c>
      <c r="B541" s="2" t="str">
        <f>"35932021121911053768415"</f>
        <v>35932021121911053768415</v>
      </c>
      <c r="C541" s="2" t="s">
        <v>8</v>
      </c>
      <c r="D541" s="2" t="str">
        <f>"陈铭盛"</f>
        <v>陈铭盛</v>
      </c>
      <c r="E541" s="2" t="str">
        <f aca="true" t="shared" si="12" ref="E541:E546">"男"</f>
        <v>男</v>
      </c>
    </row>
    <row r="542" spans="1:5" s="1" customFormat="1" ht="34.5" customHeight="1">
      <c r="A542" s="2">
        <v>540</v>
      </c>
      <c r="B542" s="2" t="str">
        <f>"35932021121911125768418"</f>
        <v>35932021121911125768418</v>
      </c>
      <c r="C542" s="2" t="s">
        <v>8</v>
      </c>
      <c r="D542" s="2" t="str">
        <f>"张正文"</f>
        <v>张正文</v>
      </c>
      <c r="E542" s="2" t="str">
        <f t="shared" si="12"/>
        <v>男</v>
      </c>
    </row>
    <row r="543" spans="1:5" s="1" customFormat="1" ht="34.5" customHeight="1">
      <c r="A543" s="2">
        <v>541</v>
      </c>
      <c r="B543" s="2" t="str">
        <f>"35932021121911164068422"</f>
        <v>35932021121911164068422</v>
      </c>
      <c r="C543" s="2" t="s">
        <v>8</v>
      </c>
      <c r="D543" s="2" t="str">
        <f>"杜小金"</f>
        <v>杜小金</v>
      </c>
      <c r="E543" s="2" t="str">
        <f t="shared" si="12"/>
        <v>男</v>
      </c>
    </row>
    <row r="544" spans="1:5" s="1" customFormat="1" ht="34.5" customHeight="1">
      <c r="A544" s="2">
        <v>542</v>
      </c>
      <c r="B544" s="2" t="str">
        <f>"35932021121911360968432"</f>
        <v>35932021121911360968432</v>
      </c>
      <c r="C544" s="2" t="s">
        <v>8</v>
      </c>
      <c r="D544" s="2" t="str">
        <f>"陈振龙"</f>
        <v>陈振龙</v>
      </c>
      <c r="E544" s="2" t="str">
        <f t="shared" si="12"/>
        <v>男</v>
      </c>
    </row>
    <row r="545" spans="1:5" s="1" customFormat="1" ht="34.5" customHeight="1">
      <c r="A545" s="2">
        <v>543</v>
      </c>
      <c r="B545" s="2" t="str">
        <f>"35932021121912274168452"</f>
        <v>35932021121912274168452</v>
      </c>
      <c r="C545" s="2" t="s">
        <v>8</v>
      </c>
      <c r="D545" s="2" t="str">
        <f>"吴柄枢"</f>
        <v>吴柄枢</v>
      </c>
      <c r="E545" s="2" t="str">
        <f t="shared" si="12"/>
        <v>男</v>
      </c>
    </row>
    <row r="546" spans="1:5" s="1" customFormat="1" ht="34.5" customHeight="1">
      <c r="A546" s="2">
        <v>544</v>
      </c>
      <c r="B546" s="2" t="str">
        <f>"35932021121912494568463"</f>
        <v>35932021121912494568463</v>
      </c>
      <c r="C546" s="2" t="s">
        <v>8</v>
      </c>
      <c r="D546" s="2" t="str">
        <f>"王会全"</f>
        <v>王会全</v>
      </c>
      <c r="E546" s="2" t="str">
        <f t="shared" si="12"/>
        <v>男</v>
      </c>
    </row>
    <row r="547" spans="1:5" s="1" customFormat="1" ht="34.5" customHeight="1">
      <c r="A547" s="2">
        <v>545</v>
      </c>
      <c r="B547" s="2" t="str">
        <f>"35932021121912575868467"</f>
        <v>35932021121912575868467</v>
      </c>
      <c r="C547" s="2" t="s">
        <v>8</v>
      </c>
      <c r="D547" s="2" t="str">
        <f>"裴名俐"</f>
        <v>裴名俐</v>
      </c>
      <c r="E547" s="2" t="str">
        <f>"女"</f>
        <v>女</v>
      </c>
    </row>
    <row r="548" spans="1:5" s="1" customFormat="1" ht="34.5" customHeight="1">
      <c r="A548" s="2">
        <v>546</v>
      </c>
      <c r="B548" s="2" t="str">
        <f>"35932021121913084068472"</f>
        <v>35932021121913084068472</v>
      </c>
      <c r="C548" s="2" t="s">
        <v>8</v>
      </c>
      <c r="D548" s="2" t="str">
        <f>"陈俊玲"</f>
        <v>陈俊玲</v>
      </c>
      <c r="E548" s="2" t="str">
        <f>"女"</f>
        <v>女</v>
      </c>
    </row>
    <row r="549" spans="1:5" s="1" customFormat="1" ht="34.5" customHeight="1">
      <c r="A549" s="2">
        <v>547</v>
      </c>
      <c r="B549" s="2" t="str">
        <f>"35932021121913462168493"</f>
        <v>35932021121913462168493</v>
      </c>
      <c r="C549" s="2" t="s">
        <v>8</v>
      </c>
      <c r="D549" s="2" t="str">
        <f>"董宝根"</f>
        <v>董宝根</v>
      </c>
      <c r="E549" s="2" t="str">
        <f>"男"</f>
        <v>男</v>
      </c>
    </row>
    <row r="550" spans="1:5" s="1" customFormat="1" ht="34.5" customHeight="1">
      <c r="A550" s="2">
        <v>548</v>
      </c>
      <c r="B550" s="2" t="str">
        <f>"35932021121913474668496"</f>
        <v>35932021121913474668496</v>
      </c>
      <c r="C550" s="2" t="s">
        <v>8</v>
      </c>
      <c r="D550" s="2" t="str">
        <f>"唐文玲"</f>
        <v>唐文玲</v>
      </c>
      <c r="E550" s="2" t="str">
        <f>"女"</f>
        <v>女</v>
      </c>
    </row>
    <row r="551" spans="1:5" s="1" customFormat="1" ht="34.5" customHeight="1">
      <c r="A551" s="2">
        <v>549</v>
      </c>
      <c r="B551" s="2" t="str">
        <f>"35932021121914061668509"</f>
        <v>35932021121914061668509</v>
      </c>
      <c r="C551" s="2" t="s">
        <v>8</v>
      </c>
      <c r="D551" s="2" t="str">
        <f>"万恒娴"</f>
        <v>万恒娴</v>
      </c>
      <c r="E551" s="2" t="str">
        <f>"女"</f>
        <v>女</v>
      </c>
    </row>
    <row r="552" spans="1:5" s="1" customFormat="1" ht="34.5" customHeight="1">
      <c r="A552" s="2">
        <v>550</v>
      </c>
      <c r="B552" s="2" t="str">
        <f>"35932021121914481768530"</f>
        <v>35932021121914481768530</v>
      </c>
      <c r="C552" s="2" t="s">
        <v>8</v>
      </c>
      <c r="D552" s="2" t="str">
        <f>"何艺东"</f>
        <v>何艺东</v>
      </c>
      <c r="E552" s="2" t="str">
        <f>"男"</f>
        <v>男</v>
      </c>
    </row>
    <row r="553" spans="1:5" s="1" customFormat="1" ht="34.5" customHeight="1">
      <c r="A553" s="2">
        <v>551</v>
      </c>
      <c r="B553" s="2" t="str">
        <f>"35932021121914550068534"</f>
        <v>35932021121914550068534</v>
      </c>
      <c r="C553" s="2" t="s">
        <v>8</v>
      </c>
      <c r="D553" s="2" t="str">
        <f>"黄慧婷"</f>
        <v>黄慧婷</v>
      </c>
      <c r="E553" s="2" t="str">
        <f>"女"</f>
        <v>女</v>
      </c>
    </row>
    <row r="554" spans="1:5" s="1" customFormat="1" ht="34.5" customHeight="1">
      <c r="A554" s="2">
        <v>552</v>
      </c>
      <c r="B554" s="2" t="str">
        <f>"35932021121915162768541"</f>
        <v>35932021121915162768541</v>
      </c>
      <c r="C554" s="2" t="s">
        <v>8</v>
      </c>
      <c r="D554" s="2" t="str">
        <f>"黄小宜"</f>
        <v>黄小宜</v>
      </c>
      <c r="E554" s="2" t="str">
        <f>"女"</f>
        <v>女</v>
      </c>
    </row>
    <row r="555" spans="1:5" s="1" customFormat="1" ht="34.5" customHeight="1">
      <c r="A555" s="2">
        <v>553</v>
      </c>
      <c r="B555" s="2" t="str">
        <f>"35932021121915295268554"</f>
        <v>35932021121915295268554</v>
      </c>
      <c r="C555" s="2" t="s">
        <v>8</v>
      </c>
      <c r="D555" s="2" t="str">
        <f>"唐着策"</f>
        <v>唐着策</v>
      </c>
      <c r="E555" s="2" t="str">
        <f>"男"</f>
        <v>男</v>
      </c>
    </row>
    <row r="556" spans="1:5" s="1" customFormat="1" ht="34.5" customHeight="1">
      <c r="A556" s="2">
        <v>554</v>
      </c>
      <c r="B556" s="2" t="str">
        <f>"35932021121915370668556"</f>
        <v>35932021121915370668556</v>
      </c>
      <c r="C556" s="2" t="s">
        <v>8</v>
      </c>
      <c r="D556" s="2" t="str">
        <f>"王文宣"</f>
        <v>王文宣</v>
      </c>
      <c r="E556" s="2" t="str">
        <f>"男"</f>
        <v>男</v>
      </c>
    </row>
    <row r="557" spans="1:5" s="1" customFormat="1" ht="34.5" customHeight="1">
      <c r="A557" s="2">
        <v>555</v>
      </c>
      <c r="B557" s="2" t="str">
        <f>"35932021121915381068558"</f>
        <v>35932021121915381068558</v>
      </c>
      <c r="C557" s="2" t="s">
        <v>8</v>
      </c>
      <c r="D557" s="2" t="str">
        <f>"符式辉"</f>
        <v>符式辉</v>
      </c>
      <c r="E557" s="2" t="str">
        <f>"男"</f>
        <v>男</v>
      </c>
    </row>
    <row r="558" spans="1:5" s="1" customFormat="1" ht="34.5" customHeight="1">
      <c r="A558" s="2">
        <v>556</v>
      </c>
      <c r="B558" s="2" t="str">
        <f>"35932021121916274068581"</f>
        <v>35932021121916274068581</v>
      </c>
      <c r="C558" s="2" t="s">
        <v>8</v>
      </c>
      <c r="D558" s="2" t="str">
        <f>"王英杰"</f>
        <v>王英杰</v>
      </c>
      <c r="E558" s="2" t="str">
        <f>"女"</f>
        <v>女</v>
      </c>
    </row>
    <row r="559" spans="1:5" s="1" customFormat="1" ht="34.5" customHeight="1">
      <c r="A559" s="2">
        <v>557</v>
      </c>
      <c r="B559" s="2" t="str">
        <f>"35932021121916335468585"</f>
        <v>35932021121916335468585</v>
      </c>
      <c r="C559" s="2" t="s">
        <v>8</v>
      </c>
      <c r="D559" s="2" t="str">
        <f>"王辉"</f>
        <v>王辉</v>
      </c>
      <c r="E559" s="2" t="str">
        <f>"男"</f>
        <v>男</v>
      </c>
    </row>
    <row r="560" spans="1:5" s="1" customFormat="1" ht="34.5" customHeight="1">
      <c r="A560" s="2">
        <v>558</v>
      </c>
      <c r="B560" s="2" t="str">
        <f>"35932021121916411668591"</f>
        <v>35932021121916411668591</v>
      </c>
      <c r="C560" s="2" t="s">
        <v>8</v>
      </c>
      <c r="D560" s="2" t="str">
        <f>"王崇楷"</f>
        <v>王崇楷</v>
      </c>
      <c r="E560" s="2" t="str">
        <f>"男"</f>
        <v>男</v>
      </c>
    </row>
    <row r="561" spans="1:5" s="1" customFormat="1" ht="34.5" customHeight="1">
      <c r="A561" s="2">
        <v>559</v>
      </c>
      <c r="B561" s="2" t="str">
        <f>"35932021121916570468610"</f>
        <v>35932021121916570468610</v>
      </c>
      <c r="C561" s="2" t="s">
        <v>8</v>
      </c>
      <c r="D561" s="2" t="str">
        <f>"王康帅"</f>
        <v>王康帅</v>
      </c>
      <c r="E561" s="2" t="str">
        <f>"男"</f>
        <v>男</v>
      </c>
    </row>
    <row r="562" spans="1:5" s="1" customFormat="1" ht="34.5" customHeight="1">
      <c r="A562" s="2">
        <v>560</v>
      </c>
      <c r="B562" s="2" t="str">
        <f>"35932021121917055268615"</f>
        <v>35932021121917055268615</v>
      </c>
      <c r="C562" s="2" t="s">
        <v>8</v>
      </c>
      <c r="D562" s="2" t="str">
        <f>"吴承伟"</f>
        <v>吴承伟</v>
      </c>
      <c r="E562" s="2" t="str">
        <f>"男"</f>
        <v>男</v>
      </c>
    </row>
    <row r="563" spans="1:5" s="1" customFormat="1" ht="34.5" customHeight="1">
      <c r="A563" s="2">
        <v>561</v>
      </c>
      <c r="B563" s="2" t="str">
        <f>"35932021121918210868658"</f>
        <v>35932021121918210868658</v>
      </c>
      <c r="C563" s="2" t="s">
        <v>8</v>
      </c>
      <c r="D563" s="2" t="str">
        <f>"纪定楚"</f>
        <v>纪定楚</v>
      </c>
      <c r="E563" s="2" t="str">
        <f>"女"</f>
        <v>女</v>
      </c>
    </row>
    <row r="564" spans="1:5" s="1" customFormat="1" ht="34.5" customHeight="1">
      <c r="A564" s="2">
        <v>562</v>
      </c>
      <c r="B564" s="2" t="str">
        <f>"35932021121918383268667"</f>
        <v>35932021121918383268667</v>
      </c>
      <c r="C564" s="2" t="s">
        <v>8</v>
      </c>
      <c r="D564" s="2" t="str">
        <f>"吴浩"</f>
        <v>吴浩</v>
      </c>
      <c r="E564" s="2" t="str">
        <f>"男"</f>
        <v>男</v>
      </c>
    </row>
    <row r="565" spans="1:5" s="1" customFormat="1" ht="34.5" customHeight="1">
      <c r="A565" s="2">
        <v>563</v>
      </c>
      <c r="B565" s="2" t="str">
        <f>"35932021121919073968681"</f>
        <v>35932021121919073968681</v>
      </c>
      <c r="C565" s="2" t="s">
        <v>8</v>
      </c>
      <c r="D565" s="2" t="str">
        <f>"陈冠岳"</f>
        <v>陈冠岳</v>
      </c>
      <c r="E565" s="2" t="str">
        <f>"男"</f>
        <v>男</v>
      </c>
    </row>
    <row r="566" spans="1:5" s="1" customFormat="1" ht="34.5" customHeight="1">
      <c r="A566" s="2">
        <v>564</v>
      </c>
      <c r="B566" s="2" t="str">
        <f>"35932021121919545668718"</f>
        <v>35932021121919545668718</v>
      </c>
      <c r="C566" s="2" t="s">
        <v>8</v>
      </c>
      <c r="D566" s="2" t="str">
        <f>"胡日振"</f>
        <v>胡日振</v>
      </c>
      <c r="E566" s="2" t="str">
        <f>"男"</f>
        <v>男</v>
      </c>
    </row>
    <row r="567" spans="1:5" s="1" customFormat="1" ht="34.5" customHeight="1">
      <c r="A567" s="2">
        <v>565</v>
      </c>
      <c r="B567" s="2" t="str">
        <f>"35932021121920151868728"</f>
        <v>35932021121920151868728</v>
      </c>
      <c r="C567" s="2" t="s">
        <v>8</v>
      </c>
      <c r="D567" s="2" t="str">
        <f>"李秋婷"</f>
        <v>李秋婷</v>
      </c>
      <c r="E567" s="2" t="str">
        <f>"女"</f>
        <v>女</v>
      </c>
    </row>
    <row r="568" spans="1:5" s="1" customFormat="1" ht="34.5" customHeight="1">
      <c r="A568" s="2">
        <v>566</v>
      </c>
      <c r="B568" s="2" t="str">
        <f>"35932021121920440768751"</f>
        <v>35932021121920440768751</v>
      </c>
      <c r="C568" s="2" t="s">
        <v>8</v>
      </c>
      <c r="D568" s="2" t="str">
        <f>"吴英伟"</f>
        <v>吴英伟</v>
      </c>
      <c r="E568" s="2" t="str">
        <f>"男"</f>
        <v>男</v>
      </c>
    </row>
    <row r="569" spans="1:5" s="1" customFormat="1" ht="34.5" customHeight="1">
      <c r="A569" s="2">
        <v>567</v>
      </c>
      <c r="B569" s="2" t="str">
        <f>"35932021121920481168754"</f>
        <v>35932021121920481168754</v>
      </c>
      <c r="C569" s="2" t="s">
        <v>8</v>
      </c>
      <c r="D569" s="2" t="str">
        <f>"许琳涓"</f>
        <v>许琳涓</v>
      </c>
      <c r="E569" s="2" t="str">
        <f>"女"</f>
        <v>女</v>
      </c>
    </row>
    <row r="570" spans="1:5" s="1" customFormat="1" ht="34.5" customHeight="1">
      <c r="A570" s="2">
        <v>568</v>
      </c>
      <c r="B570" s="2" t="str">
        <f>"35932021121920490068755"</f>
        <v>35932021121920490068755</v>
      </c>
      <c r="C570" s="2" t="s">
        <v>8</v>
      </c>
      <c r="D570" s="2" t="str">
        <f>"符文迪"</f>
        <v>符文迪</v>
      </c>
      <c r="E570" s="2" t="str">
        <f>"男"</f>
        <v>男</v>
      </c>
    </row>
    <row r="571" spans="1:5" s="1" customFormat="1" ht="34.5" customHeight="1">
      <c r="A571" s="2">
        <v>569</v>
      </c>
      <c r="B571" s="2" t="str">
        <f>"35932021121920513468758"</f>
        <v>35932021121920513468758</v>
      </c>
      <c r="C571" s="2" t="s">
        <v>8</v>
      </c>
      <c r="D571" s="2" t="str">
        <f>"孙瑞泽"</f>
        <v>孙瑞泽</v>
      </c>
      <c r="E571" s="2" t="str">
        <f>"男"</f>
        <v>男</v>
      </c>
    </row>
    <row r="572" spans="1:5" s="1" customFormat="1" ht="34.5" customHeight="1">
      <c r="A572" s="2">
        <v>570</v>
      </c>
      <c r="B572" s="2" t="str">
        <f>"35932021121921054868765"</f>
        <v>35932021121921054868765</v>
      </c>
      <c r="C572" s="2" t="s">
        <v>8</v>
      </c>
      <c r="D572" s="2" t="str">
        <f>"罗江莹"</f>
        <v>罗江莹</v>
      </c>
      <c r="E572" s="2" t="str">
        <f>"女"</f>
        <v>女</v>
      </c>
    </row>
    <row r="573" spans="1:5" s="1" customFormat="1" ht="34.5" customHeight="1">
      <c r="A573" s="2">
        <v>571</v>
      </c>
      <c r="B573" s="2" t="str">
        <f>"35932021121921235168781"</f>
        <v>35932021121921235168781</v>
      </c>
      <c r="C573" s="2" t="s">
        <v>8</v>
      </c>
      <c r="D573" s="2" t="str">
        <f>"陈斌斌"</f>
        <v>陈斌斌</v>
      </c>
      <c r="E573" s="2" t="str">
        <f>"男"</f>
        <v>男</v>
      </c>
    </row>
    <row r="574" spans="1:5" s="1" customFormat="1" ht="34.5" customHeight="1">
      <c r="A574" s="2">
        <v>572</v>
      </c>
      <c r="B574" s="2" t="str">
        <f>"35932021121921291368784"</f>
        <v>35932021121921291368784</v>
      </c>
      <c r="C574" s="2" t="s">
        <v>8</v>
      </c>
      <c r="D574" s="2" t="str">
        <f>"程怡"</f>
        <v>程怡</v>
      </c>
      <c r="E574" s="2" t="str">
        <f>"女"</f>
        <v>女</v>
      </c>
    </row>
    <row r="575" spans="1:5" s="1" customFormat="1" ht="34.5" customHeight="1">
      <c r="A575" s="2">
        <v>573</v>
      </c>
      <c r="B575" s="2" t="str">
        <f>"35932021121921310668785"</f>
        <v>35932021121921310668785</v>
      </c>
      <c r="C575" s="2" t="s">
        <v>8</v>
      </c>
      <c r="D575" s="2" t="str">
        <f>"钟水合"</f>
        <v>钟水合</v>
      </c>
      <c r="E575" s="2" t="str">
        <f>"女"</f>
        <v>女</v>
      </c>
    </row>
    <row r="576" spans="1:5" s="1" customFormat="1" ht="34.5" customHeight="1">
      <c r="A576" s="2">
        <v>574</v>
      </c>
      <c r="B576" s="2" t="str">
        <f>"35932021121921461068799"</f>
        <v>35932021121921461068799</v>
      </c>
      <c r="C576" s="2" t="s">
        <v>8</v>
      </c>
      <c r="D576" s="2" t="str">
        <f>"陈振芹"</f>
        <v>陈振芹</v>
      </c>
      <c r="E576" s="2" t="str">
        <f>"男"</f>
        <v>男</v>
      </c>
    </row>
    <row r="577" spans="1:5" s="1" customFormat="1" ht="34.5" customHeight="1">
      <c r="A577" s="2">
        <v>575</v>
      </c>
      <c r="B577" s="2" t="str">
        <f>"35932021121921583568811"</f>
        <v>35932021121921583568811</v>
      </c>
      <c r="C577" s="2" t="s">
        <v>8</v>
      </c>
      <c r="D577" s="2" t="str">
        <f>"林佩"</f>
        <v>林佩</v>
      </c>
      <c r="E577" s="2" t="str">
        <f>"女"</f>
        <v>女</v>
      </c>
    </row>
    <row r="578" spans="1:5" s="1" customFormat="1" ht="34.5" customHeight="1">
      <c r="A578" s="2">
        <v>576</v>
      </c>
      <c r="B578" s="2" t="str">
        <f>"35932021121922011968813"</f>
        <v>35932021121922011968813</v>
      </c>
      <c r="C578" s="2" t="s">
        <v>8</v>
      </c>
      <c r="D578" s="2" t="str">
        <f>"王佩茹"</f>
        <v>王佩茹</v>
      </c>
      <c r="E578" s="2" t="str">
        <f>"女"</f>
        <v>女</v>
      </c>
    </row>
    <row r="579" spans="1:5" s="1" customFormat="1" ht="34.5" customHeight="1">
      <c r="A579" s="2">
        <v>577</v>
      </c>
      <c r="B579" s="2" t="str">
        <f>"35932021121922294968829"</f>
        <v>35932021121922294968829</v>
      </c>
      <c r="C579" s="2" t="s">
        <v>8</v>
      </c>
      <c r="D579" s="2" t="str">
        <f>"吴文统"</f>
        <v>吴文统</v>
      </c>
      <c r="E579" s="2" t="str">
        <f>"男"</f>
        <v>男</v>
      </c>
    </row>
    <row r="580" spans="1:5" s="1" customFormat="1" ht="34.5" customHeight="1">
      <c r="A580" s="2">
        <v>578</v>
      </c>
      <c r="B580" s="2" t="str">
        <f>"35932021121923030368847"</f>
        <v>35932021121923030368847</v>
      </c>
      <c r="C580" s="2" t="s">
        <v>8</v>
      </c>
      <c r="D580" s="2" t="str">
        <f>"符兰兰"</f>
        <v>符兰兰</v>
      </c>
      <c r="E580" s="2" t="str">
        <f>"女"</f>
        <v>女</v>
      </c>
    </row>
    <row r="581" spans="1:5" s="1" customFormat="1" ht="34.5" customHeight="1">
      <c r="A581" s="2">
        <v>579</v>
      </c>
      <c r="B581" s="2" t="str">
        <f>"35932021121923355668863"</f>
        <v>35932021121923355668863</v>
      </c>
      <c r="C581" s="2" t="s">
        <v>8</v>
      </c>
      <c r="D581" s="2" t="str">
        <f>"罗宁尹"</f>
        <v>罗宁尹</v>
      </c>
      <c r="E581" s="2" t="str">
        <f>"女"</f>
        <v>女</v>
      </c>
    </row>
    <row r="582" spans="1:5" s="1" customFormat="1" ht="34.5" customHeight="1">
      <c r="A582" s="2">
        <v>580</v>
      </c>
      <c r="B582" s="2" t="str">
        <f>"35932021121923392268865"</f>
        <v>35932021121923392268865</v>
      </c>
      <c r="C582" s="2" t="s">
        <v>8</v>
      </c>
      <c r="D582" s="2" t="str">
        <f>"朱深利"</f>
        <v>朱深利</v>
      </c>
      <c r="E582" s="2" t="str">
        <f>"男"</f>
        <v>男</v>
      </c>
    </row>
    <row r="583" spans="1:5" s="1" customFormat="1" ht="34.5" customHeight="1">
      <c r="A583" s="2">
        <v>581</v>
      </c>
      <c r="B583" s="2" t="str">
        <f>"35932021121923485268869"</f>
        <v>35932021121923485268869</v>
      </c>
      <c r="C583" s="2" t="s">
        <v>8</v>
      </c>
      <c r="D583" s="2" t="str">
        <f>"吴忠琴"</f>
        <v>吴忠琴</v>
      </c>
      <c r="E583" s="2" t="str">
        <f>"女"</f>
        <v>女</v>
      </c>
    </row>
    <row r="584" spans="1:5" s="1" customFormat="1" ht="34.5" customHeight="1">
      <c r="A584" s="2">
        <v>582</v>
      </c>
      <c r="B584" s="2" t="str">
        <f>"35932021122000591068893"</f>
        <v>35932021122000591068893</v>
      </c>
      <c r="C584" s="2" t="s">
        <v>8</v>
      </c>
      <c r="D584" s="2" t="str">
        <f>"陈世豪"</f>
        <v>陈世豪</v>
      </c>
      <c r="E584" s="2" t="str">
        <f>"男"</f>
        <v>男</v>
      </c>
    </row>
    <row r="585" spans="1:5" s="1" customFormat="1" ht="34.5" customHeight="1">
      <c r="A585" s="2">
        <v>583</v>
      </c>
      <c r="B585" s="2" t="str">
        <f>"35932021122007520768905"</f>
        <v>35932021122007520768905</v>
      </c>
      <c r="C585" s="2" t="s">
        <v>8</v>
      </c>
      <c r="D585" s="2" t="str">
        <f>"杨文钦"</f>
        <v>杨文钦</v>
      </c>
      <c r="E585" s="2" t="str">
        <f>"男"</f>
        <v>男</v>
      </c>
    </row>
    <row r="586" spans="1:5" s="1" customFormat="1" ht="34.5" customHeight="1">
      <c r="A586" s="2">
        <v>584</v>
      </c>
      <c r="B586" s="2" t="str">
        <f>"35932021122008424368924"</f>
        <v>35932021122008424368924</v>
      </c>
      <c r="C586" s="2" t="s">
        <v>8</v>
      </c>
      <c r="D586" s="2" t="str">
        <f>"张朋"</f>
        <v>张朋</v>
      </c>
      <c r="E586" s="2" t="str">
        <f>"男"</f>
        <v>男</v>
      </c>
    </row>
    <row r="587" spans="1:5" s="1" customFormat="1" ht="34.5" customHeight="1">
      <c r="A587" s="2">
        <v>585</v>
      </c>
      <c r="B587" s="2" t="str">
        <f>"35932021122009243668969"</f>
        <v>35932021122009243668969</v>
      </c>
      <c r="C587" s="2" t="s">
        <v>8</v>
      </c>
      <c r="D587" s="2" t="str">
        <f>"卢萍"</f>
        <v>卢萍</v>
      </c>
      <c r="E587" s="2" t="str">
        <f>"女"</f>
        <v>女</v>
      </c>
    </row>
    <row r="588" spans="1:5" s="1" customFormat="1" ht="34.5" customHeight="1">
      <c r="A588" s="2">
        <v>586</v>
      </c>
      <c r="B588" s="2" t="str">
        <f>"35932021122009301868977"</f>
        <v>35932021122009301868977</v>
      </c>
      <c r="C588" s="2" t="s">
        <v>8</v>
      </c>
      <c r="D588" s="2" t="str">
        <f>"张腾"</f>
        <v>张腾</v>
      </c>
      <c r="E588" s="2" t="str">
        <f>"男"</f>
        <v>男</v>
      </c>
    </row>
    <row r="589" spans="1:5" s="1" customFormat="1" ht="34.5" customHeight="1">
      <c r="A589" s="2">
        <v>587</v>
      </c>
      <c r="B589" s="2" t="str">
        <f>"35932021122009335368980"</f>
        <v>35932021122009335368980</v>
      </c>
      <c r="C589" s="2" t="s">
        <v>8</v>
      </c>
      <c r="D589" s="2" t="str">
        <f>"罗智惠"</f>
        <v>罗智惠</v>
      </c>
      <c r="E589" s="2" t="str">
        <f>"女"</f>
        <v>女</v>
      </c>
    </row>
    <row r="590" spans="1:5" s="1" customFormat="1" ht="34.5" customHeight="1">
      <c r="A590" s="2">
        <v>588</v>
      </c>
      <c r="B590" s="2" t="str">
        <f>"35932021122009474869000"</f>
        <v>35932021122009474869000</v>
      </c>
      <c r="C590" s="2" t="s">
        <v>8</v>
      </c>
      <c r="D590" s="2" t="str">
        <f>"陈芳雨"</f>
        <v>陈芳雨</v>
      </c>
      <c r="E590" s="2" t="str">
        <f>"女"</f>
        <v>女</v>
      </c>
    </row>
    <row r="591" spans="1:5" s="1" customFormat="1" ht="34.5" customHeight="1">
      <c r="A591" s="2">
        <v>589</v>
      </c>
      <c r="B591" s="2" t="str">
        <f>"35932021122009515169006"</f>
        <v>35932021122009515169006</v>
      </c>
      <c r="C591" s="2" t="s">
        <v>8</v>
      </c>
      <c r="D591" s="2" t="str">
        <f>"郑时恒"</f>
        <v>郑时恒</v>
      </c>
      <c r="E591" s="2" t="str">
        <f>"男"</f>
        <v>男</v>
      </c>
    </row>
    <row r="592" spans="1:5" s="1" customFormat="1" ht="34.5" customHeight="1">
      <c r="A592" s="2">
        <v>590</v>
      </c>
      <c r="B592" s="2" t="str">
        <f>"35932021122010125469021"</f>
        <v>35932021122010125469021</v>
      </c>
      <c r="C592" s="2" t="s">
        <v>8</v>
      </c>
      <c r="D592" s="2" t="str">
        <f>"姬鹏飞"</f>
        <v>姬鹏飞</v>
      </c>
      <c r="E592" s="2" t="str">
        <f>"男"</f>
        <v>男</v>
      </c>
    </row>
    <row r="593" spans="1:5" s="1" customFormat="1" ht="34.5" customHeight="1">
      <c r="A593" s="2">
        <v>591</v>
      </c>
      <c r="B593" s="2" t="str">
        <f>"35932021122010181469030"</f>
        <v>35932021122010181469030</v>
      </c>
      <c r="C593" s="2" t="s">
        <v>8</v>
      </c>
      <c r="D593" s="2" t="str">
        <f>"黄雯佳"</f>
        <v>黄雯佳</v>
      </c>
      <c r="E593" s="2" t="str">
        <f>"女"</f>
        <v>女</v>
      </c>
    </row>
    <row r="594" spans="1:5" s="1" customFormat="1" ht="34.5" customHeight="1">
      <c r="A594" s="2">
        <v>592</v>
      </c>
      <c r="B594" s="2" t="str">
        <f>"35932021122010221569038"</f>
        <v>35932021122010221569038</v>
      </c>
      <c r="C594" s="2" t="s">
        <v>8</v>
      </c>
      <c r="D594" s="2" t="str">
        <f>"王妤"</f>
        <v>王妤</v>
      </c>
      <c r="E594" s="2" t="str">
        <f>"女"</f>
        <v>女</v>
      </c>
    </row>
    <row r="595" spans="1:5" s="1" customFormat="1" ht="34.5" customHeight="1">
      <c r="A595" s="2">
        <v>593</v>
      </c>
      <c r="B595" s="2" t="str">
        <f>"35932021122010275769044"</f>
        <v>35932021122010275769044</v>
      </c>
      <c r="C595" s="2" t="s">
        <v>8</v>
      </c>
      <c r="D595" s="2" t="str">
        <f>"吕世俊"</f>
        <v>吕世俊</v>
      </c>
      <c r="E595" s="2" t="str">
        <f aca="true" t="shared" si="13" ref="E595:E601">"男"</f>
        <v>男</v>
      </c>
    </row>
    <row r="596" spans="1:5" s="1" customFormat="1" ht="34.5" customHeight="1">
      <c r="A596" s="2">
        <v>594</v>
      </c>
      <c r="B596" s="2" t="str">
        <f>"35932021122010294769049"</f>
        <v>35932021122010294769049</v>
      </c>
      <c r="C596" s="2" t="s">
        <v>8</v>
      </c>
      <c r="D596" s="2" t="str">
        <f>"符晓辉"</f>
        <v>符晓辉</v>
      </c>
      <c r="E596" s="2" t="str">
        <f t="shared" si="13"/>
        <v>男</v>
      </c>
    </row>
    <row r="597" spans="1:5" s="1" customFormat="1" ht="34.5" customHeight="1">
      <c r="A597" s="2">
        <v>595</v>
      </c>
      <c r="B597" s="2" t="str">
        <f>"35932021122010383569060"</f>
        <v>35932021122010383569060</v>
      </c>
      <c r="C597" s="2" t="s">
        <v>8</v>
      </c>
      <c r="D597" s="2" t="str">
        <f>"卢晓辉"</f>
        <v>卢晓辉</v>
      </c>
      <c r="E597" s="2" t="str">
        <f t="shared" si="13"/>
        <v>男</v>
      </c>
    </row>
    <row r="598" spans="1:5" s="1" customFormat="1" ht="34.5" customHeight="1">
      <c r="A598" s="2">
        <v>596</v>
      </c>
      <c r="B598" s="2" t="str">
        <f>"35932021122010445969070"</f>
        <v>35932021122010445969070</v>
      </c>
      <c r="C598" s="2" t="s">
        <v>8</v>
      </c>
      <c r="D598" s="2" t="str">
        <f>"莫鹏渝"</f>
        <v>莫鹏渝</v>
      </c>
      <c r="E598" s="2" t="str">
        <f t="shared" si="13"/>
        <v>男</v>
      </c>
    </row>
    <row r="599" spans="1:5" s="1" customFormat="1" ht="34.5" customHeight="1">
      <c r="A599" s="2">
        <v>597</v>
      </c>
      <c r="B599" s="2" t="str">
        <f>"35932021122010452069071"</f>
        <v>35932021122010452069071</v>
      </c>
      <c r="C599" s="2" t="s">
        <v>8</v>
      </c>
      <c r="D599" s="2" t="str">
        <f>"刘二粽"</f>
        <v>刘二粽</v>
      </c>
      <c r="E599" s="2" t="str">
        <f t="shared" si="13"/>
        <v>男</v>
      </c>
    </row>
    <row r="600" spans="1:5" s="1" customFormat="1" ht="34.5" customHeight="1">
      <c r="A600" s="2">
        <v>598</v>
      </c>
      <c r="B600" s="2" t="str">
        <f>"35932021122011114569099"</f>
        <v>35932021122011114569099</v>
      </c>
      <c r="C600" s="2" t="s">
        <v>8</v>
      </c>
      <c r="D600" s="2" t="str">
        <f>"石磊"</f>
        <v>石磊</v>
      </c>
      <c r="E600" s="2" t="str">
        <f t="shared" si="13"/>
        <v>男</v>
      </c>
    </row>
    <row r="601" spans="1:5" s="1" customFormat="1" ht="34.5" customHeight="1">
      <c r="A601" s="2">
        <v>599</v>
      </c>
      <c r="B601" s="2" t="str">
        <f>"35932021122011151969101"</f>
        <v>35932021122011151969101</v>
      </c>
      <c r="C601" s="2" t="s">
        <v>8</v>
      </c>
      <c r="D601" s="2" t="str">
        <f>"吕鹏"</f>
        <v>吕鹏</v>
      </c>
      <c r="E601" s="2" t="str">
        <f t="shared" si="13"/>
        <v>男</v>
      </c>
    </row>
    <row r="602" spans="1:5" s="1" customFormat="1" ht="34.5" customHeight="1">
      <c r="A602" s="2">
        <v>600</v>
      </c>
      <c r="B602" s="2" t="str">
        <f>"35932021122011325569119"</f>
        <v>35932021122011325569119</v>
      </c>
      <c r="C602" s="2" t="s">
        <v>8</v>
      </c>
      <c r="D602" s="2" t="str">
        <f>"李莹影"</f>
        <v>李莹影</v>
      </c>
      <c r="E602" s="2" t="str">
        <f>"女"</f>
        <v>女</v>
      </c>
    </row>
    <row r="603" spans="1:5" s="1" customFormat="1" ht="34.5" customHeight="1">
      <c r="A603" s="2">
        <v>601</v>
      </c>
      <c r="B603" s="2" t="str">
        <f>"35932021122011422269134"</f>
        <v>35932021122011422269134</v>
      </c>
      <c r="C603" s="2" t="s">
        <v>8</v>
      </c>
      <c r="D603" s="2" t="str">
        <f>"李运顺"</f>
        <v>李运顺</v>
      </c>
      <c r="E603" s="2" t="str">
        <f>"男"</f>
        <v>男</v>
      </c>
    </row>
    <row r="604" spans="1:5" s="1" customFormat="1" ht="34.5" customHeight="1">
      <c r="A604" s="2">
        <v>602</v>
      </c>
      <c r="B604" s="2" t="str">
        <f>"35932021120711230964524"</f>
        <v>35932021120711230964524</v>
      </c>
      <c r="C604" s="2" t="s">
        <v>9</v>
      </c>
      <c r="D604" s="2" t="str">
        <f>"施国芸"</f>
        <v>施国芸</v>
      </c>
      <c r="E604" s="2" t="str">
        <f>"女"</f>
        <v>女</v>
      </c>
    </row>
    <row r="605" spans="1:5" s="1" customFormat="1" ht="34.5" customHeight="1">
      <c r="A605" s="2">
        <v>603</v>
      </c>
      <c r="B605" s="2" t="str">
        <f>"35932021120711271164532"</f>
        <v>35932021120711271164532</v>
      </c>
      <c r="C605" s="2" t="s">
        <v>9</v>
      </c>
      <c r="D605" s="2" t="str">
        <f>"徐雄姣"</f>
        <v>徐雄姣</v>
      </c>
      <c r="E605" s="2" t="str">
        <f>"女"</f>
        <v>女</v>
      </c>
    </row>
    <row r="606" spans="1:5" s="1" customFormat="1" ht="34.5" customHeight="1">
      <c r="A606" s="2">
        <v>604</v>
      </c>
      <c r="B606" s="2" t="str">
        <f>"35932021120711330864549"</f>
        <v>35932021120711330864549</v>
      </c>
      <c r="C606" s="2" t="s">
        <v>9</v>
      </c>
      <c r="D606" s="2" t="str">
        <f>"陈俊帆"</f>
        <v>陈俊帆</v>
      </c>
      <c r="E606" s="2" t="str">
        <f>"男"</f>
        <v>男</v>
      </c>
    </row>
    <row r="607" spans="1:5" s="1" customFormat="1" ht="34.5" customHeight="1">
      <c r="A607" s="2">
        <v>605</v>
      </c>
      <c r="B607" s="2" t="str">
        <f>"35932021120711351564555"</f>
        <v>35932021120711351564555</v>
      </c>
      <c r="C607" s="2" t="s">
        <v>9</v>
      </c>
      <c r="D607" s="2" t="str">
        <f>"韩汝婷"</f>
        <v>韩汝婷</v>
      </c>
      <c r="E607" s="2" t="str">
        <f>"女"</f>
        <v>女</v>
      </c>
    </row>
    <row r="608" spans="1:5" s="1" customFormat="1" ht="34.5" customHeight="1">
      <c r="A608" s="2">
        <v>606</v>
      </c>
      <c r="B608" s="2" t="str">
        <f>"35932021120711382564565"</f>
        <v>35932021120711382564565</v>
      </c>
      <c r="C608" s="2" t="s">
        <v>9</v>
      </c>
      <c r="D608" s="2" t="str">
        <f>"云薇"</f>
        <v>云薇</v>
      </c>
      <c r="E608" s="2" t="str">
        <f>"女"</f>
        <v>女</v>
      </c>
    </row>
    <row r="609" spans="1:5" s="1" customFormat="1" ht="34.5" customHeight="1">
      <c r="A609" s="2">
        <v>607</v>
      </c>
      <c r="B609" s="2" t="str">
        <f>"35932021120711400964574"</f>
        <v>35932021120711400964574</v>
      </c>
      <c r="C609" s="2" t="s">
        <v>9</v>
      </c>
      <c r="D609" s="2" t="str">
        <f>"郑杰友"</f>
        <v>郑杰友</v>
      </c>
      <c r="E609" s="2" t="str">
        <f>"男"</f>
        <v>男</v>
      </c>
    </row>
    <row r="610" spans="1:5" s="1" customFormat="1" ht="34.5" customHeight="1">
      <c r="A610" s="2">
        <v>608</v>
      </c>
      <c r="B610" s="2" t="str">
        <f>"35932021120711410164578"</f>
        <v>35932021120711410164578</v>
      </c>
      <c r="C610" s="2" t="s">
        <v>9</v>
      </c>
      <c r="D610" s="2" t="str">
        <f>"曾珊珊"</f>
        <v>曾珊珊</v>
      </c>
      <c r="E610" s="2" t="str">
        <f>"女"</f>
        <v>女</v>
      </c>
    </row>
    <row r="611" spans="1:5" s="1" customFormat="1" ht="34.5" customHeight="1">
      <c r="A611" s="2">
        <v>609</v>
      </c>
      <c r="B611" s="2" t="str">
        <f>"35932021120711495164600"</f>
        <v>35932021120711495164600</v>
      </c>
      <c r="C611" s="2" t="s">
        <v>9</v>
      </c>
      <c r="D611" s="2" t="str">
        <f>"符杰贤"</f>
        <v>符杰贤</v>
      </c>
      <c r="E611" s="2" t="str">
        <f>"男"</f>
        <v>男</v>
      </c>
    </row>
    <row r="612" spans="1:5" s="1" customFormat="1" ht="34.5" customHeight="1">
      <c r="A612" s="2">
        <v>610</v>
      </c>
      <c r="B612" s="2" t="str">
        <f>"35932021120711560164617"</f>
        <v>35932021120711560164617</v>
      </c>
      <c r="C612" s="2" t="s">
        <v>9</v>
      </c>
      <c r="D612" s="2" t="str">
        <f>"张晓晴"</f>
        <v>张晓晴</v>
      </c>
      <c r="E612" s="2" t="str">
        <f>"女"</f>
        <v>女</v>
      </c>
    </row>
    <row r="613" spans="1:5" s="1" customFormat="1" ht="34.5" customHeight="1">
      <c r="A613" s="2">
        <v>611</v>
      </c>
      <c r="B613" s="2" t="str">
        <f>"35932021120712223864665"</f>
        <v>35932021120712223864665</v>
      </c>
      <c r="C613" s="2" t="s">
        <v>9</v>
      </c>
      <c r="D613" s="2" t="str">
        <f>"周芷卉"</f>
        <v>周芷卉</v>
      </c>
      <c r="E613" s="2" t="str">
        <f>"女"</f>
        <v>女</v>
      </c>
    </row>
    <row r="614" spans="1:5" s="1" customFormat="1" ht="34.5" customHeight="1">
      <c r="A614" s="2">
        <v>612</v>
      </c>
      <c r="B614" s="2" t="str">
        <f>"35932021120712245864668"</f>
        <v>35932021120712245864668</v>
      </c>
      <c r="C614" s="2" t="s">
        <v>9</v>
      </c>
      <c r="D614" s="2" t="str">
        <f>"王清香"</f>
        <v>王清香</v>
      </c>
      <c r="E614" s="2" t="str">
        <f>"女"</f>
        <v>女</v>
      </c>
    </row>
    <row r="615" spans="1:5" s="1" customFormat="1" ht="34.5" customHeight="1">
      <c r="A615" s="2">
        <v>613</v>
      </c>
      <c r="B615" s="2" t="str">
        <f>"35932021120713463564779"</f>
        <v>35932021120713463564779</v>
      </c>
      <c r="C615" s="2" t="s">
        <v>9</v>
      </c>
      <c r="D615" s="2" t="str">
        <f>"黄建"</f>
        <v>黄建</v>
      </c>
      <c r="E615" s="2" t="str">
        <f>"男"</f>
        <v>男</v>
      </c>
    </row>
    <row r="616" spans="1:5" s="1" customFormat="1" ht="34.5" customHeight="1">
      <c r="A616" s="2">
        <v>614</v>
      </c>
      <c r="B616" s="2" t="str">
        <f>"35932021120713533864797"</f>
        <v>35932021120713533864797</v>
      </c>
      <c r="C616" s="2" t="s">
        <v>9</v>
      </c>
      <c r="D616" s="2" t="str">
        <f>"李梦君"</f>
        <v>李梦君</v>
      </c>
      <c r="E616" s="2" t="str">
        <f>"女"</f>
        <v>女</v>
      </c>
    </row>
    <row r="617" spans="1:5" s="1" customFormat="1" ht="34.5" customHeight="1">
      <c r="A617" s="2">
        <v>615</v>
      </c>
      <c r="B617" s="2" t="str">
        <f>"35932021120714215564853"</f>
        <v>35932021120714215564853</v>
      </c>
      <c r="C617" s="2" t="s">
        <v>9</v>
      </c>
      <c r="D617" s="2" t="str">
        <f>"符小芬"</f>
        <v>符小芬</v>
      </c>
      <c r="E617" s="2" t="str">
        <f>"女"</f>
        <v>女</v>
      </c>
    </row>
    <row r="618" spans="1:5" s="1" customFormat="1" ht="34.5" customHeight="1">
      <c r="A618" s="2">
        <v>616</v>
      </c>
      <c r="B618" s="2" t="str">
        <f>"35932021120714264264863"</f>
        <v>35932021120714264264863</v>
      </c>
      <c r="C618" s="2" t="s">
        <v>9</v>
      </c>
      <c r="D618" s="2" t="str">
        <f>"冯晓芬"</f>
        <v>冯晓芬</v>
      </c>
      <c r="E618" s="2" t="str">
        <f>"女"</f>
        <v>女</v>
      </c>
    </row>
    <row r="619" spans="1:5" s="1" customFormat="1" ht="34.5" customHeight="1">
      <c r="A619" s="2">
        <v>617</v>
      </c>
      <c r="B619" s="2" t="str">
        <f>"35932021120714554964935"</f>
        <v>35932021120714554964935</v>
      </c>
      <c r="C619" s="2" t="s">
        <v>9</v>
      </c>
      <c r="D619" s="2" t="str">
        <f>"符永佳"</f>
        <v>符永佳</v>
      </c>
      <c r="E619" s="2" t="str">
        <f>"女"</f>
        <v>女</v>
      </c>
    </row>
    <row r="620" spans="1:5" s="1" customFormat="1" ht="34.5" customHeight="1">
      <c r="A620" s="2">
        <v>618</v>
      </c>
      <c r="B620" s="2" t="str">
        <f>"35932021120714565964940"</f>
        <v>35932021120714565964940</v>
      </c>
      <c r="C620" s="2" t="s">
        <v>9</v>
      </c>
      <c r="D620" s="2" t="str">
        <f>"吴祥燕"</f>
        <v>吴祥燕</v>
      </c>
      <c r="E620" s="2" t="str">
        <f>"女"</f>
        <v>女</v>
      </c>
    </row>
    <row r="621" spans="1:5" s="1" customFormat="1" ht="34.5" customHeight="1">
      <c r="A621" s="2">
        <v>619</v>
      </c>
      <c r="B621" s="2" t="str">
        <f>"35932021120714574364943"</f>
        <v>35932021120714574364943</v>
      </c>
      <c r="C621" s="2" t="s">
        <v>9</v>
      </c>
      <c r="D621" s="2" t="str">
        <f>"张熙松"</f>
        <v>张熙松</v>
      </c>
      <c r="E621" s="2" t="str">
        <f>"男"</f>
        <v>男</v>
      </c>
    </row>
    <row r="622" spans="1:5" s="1" customFormat="1" ht="34.5" customHeight="1">
      <c r="A622" s="2">
        <v>620</v>
      </c>
      <c r="B622" s="2" t="str">
        <f>"35932021120715072664968"</f>
        <v>35932021120715072664968</v>
      </c>
      <c r="C622" s="2" t="s">
        <v>9</v>
      </c>
      <c r="D622" s="2" t="str">
        <f>"黎家慧"</f>
        <v>黎家慧</v>
      </c>
      <c r="E622" s="2" t="str">
        <f>"女"</f>
        <v>女</v>
      </c>
    </row>
    <row r="623" spans="1:5" s="1" customFormat="1" ht="34.5" customHeight="1">
      <c r="A623" s="2">
        <v>621</v>
      </c>
      <c r="B623" s="2" t="str">
        <f>"35932021120715120664983"</f>
        <v>35932021120715120664983</v>
      </c>
      <c r="C623" s="2" t="s">
        <v>9</v>
      </c>
      <c r="D623" s="2" t="str">
        <f>"李丽萍"</f>
        <v>李丽萍</v>
      </c>
      <c r="E623" s="2" t="str">
        <f>"女"</f>
        <v>女</v>
      </c>
    </row>
    <row r="624" spans="1:5" s="1" customFormat="1" ht="34.5" customHeight="1">
      <c r="A624" s="2">
        <v>622</v>
      </c>
      <c r="B624" s="2" t="str">
        <f>"35932021120715312965044"</f>
        <v>35932021120715312965044</v>
      </c>
      <c r="C624" s="2" t="s">
        <v>9</v>
      </c>
      <c r="D624" s="2" t="str">
        <f>"王乾宽"</f>
        <v>王乾宽</v>
      </c>
      <c r="E624" s="2" t="str">
        <f>"男"</f>
        <v>男</v>
      </c>
    </row>
    <row r="625" spans="1:5" s="1" customFormat="1" ht="34.5" customHeight="1">
      <c r="A625" s="2">
        <v>623</v>
      </c>
      <c r="B625" s="2" t="str">
        <f>"35932021120715322265045"</f>
        <v>35932021120715322265045</v>
      </c>
      <c r="C625" s="2" t="s">
        <v>9</v>
      </c>
      <c r="D625" s="2" t="str">
        <f>"王淑煜"</f>
        <v>王淑煜</v>
      </c>
      <c r="E625" s="2" t="str">
        <f aca="true" t="shared" si="14" ref="E625:E633">"女"</f>
        <v>女</v>
      </c>
    </row>
    <row r="626" spans="1:5" s="1" customFormat="1" ht="34.5" customHeight="1">
      <c r="A626" s="2">
        <v>624</v>
      </c>
      <c r="B626" s="2" t="str">
        <f>"35932021120715330665046"</f>
        <v>35932021120715330665046</v>
      </c>
      <c r="C626" s="2" t="s">
        <v>9</v>
      </c>
      <c r="D626" s="2" t="str">
        <f>"孙小微"</f>
        <v>孙小微</v>
      </c>
      <c r="E626" s="2" t="str">
        <f t="shared" si="14"/>
        <v>女</v>
      </c>
    </row>
    <row r="627" spans="1:5" s="1" customFormat="1" ht="34.5" customHeight="1">
      <c r="A627" s="2">
        <v>625</v>
      </c>
      <c r="B627" s="2" t="str">
        <f>"35932021120715343665049"</f>
        <v>35932021120715343665049</v>
      </c>
      <c r="C627" s="2" t="s">
        <v>9</v>
      </c>
      <c r="D627" s="2" t="str">
        <f>"莫镜程"</f>
        <v>莫镜程</v>
      </c>
      <c r="E627" s="2" t="str">
        <f t="shared" si="14"/>
        <v>女</v>
      </c>
    </row>
    <row r="628" spans="1:5" s="1" customFormat="1" ht="34.5" customHeight="1">
      <c r="A628" s="2">
        <v>626</v>
      </c>
      <c r="B628" s="2" t="str">
        <f>"35932021120715484765092"</f>
        <v>35932021120715484765092</v>
      </c>
      <c r="C628" s="2" t="s">
        <v>9</v>
      </c>
      <c r="D628" s="2" t="str">
        <f>"廖雪冰"</f>
        <v>廖雪冰</v>
      </c>
      <c r="E628" s="2" t="str">
        <f t="shared" si="14"/>
        <v>女</v>
      </c>
    </row>
    <row r="629" spans="1:5" s="1" customFormat="1" ht="34.5" customHeight="1">
      <c r="A629" s="2">
        <v>627</v>
      </c>
      <c r="B629" s="2" t="str">
        <f>"35932021120715514665096"</f>
        <v>35932021120715514665096</v>
      </c>
      <c r="C629" s="2" t="s">
        <v>9</v>
      </c>
      <c r="D629" s="2" t="str">
        <f>"邱惠芳"</f>
        <v>邱惠芳</v>
      </c>
      <c r="E629" s="2" t="str">
        <f t="shared" si="14"/>
        <v>女</v>
      </c>
    </row>
    <row r="630" spans="1:5" s="1" customFormat="1" ht="34.5" customHeight="1">
      <c r="A630" s="2">
        <v>628</v>
      </c>
      <c r="B630" s="2" t="str">
        <f>"35932021120715552665107"</f>
        <v>35932021120715552665107</v>
      </c>
      <c r="C630" s="2" t="s">
        <v>9</v>
      </c>
      <c r="D630" s="2" t="str">
        <f>"符彩燕"</f>
        <v>符彩燕</v>
      </c>
      <c r="E630" s="2" t="str">
        <f t="shared" si="14"/>
        <v>女</v>
      </c>
    </row>
    <row r="631" spans="1:5" s="1" customFormat="1" ht="34.5" customHeight="1">
      <c r="A631" s="2">
        <v>629</v>
      </c>
      <c r="B631" s="2" t="str">
        <f>"35932021120715561565111"</f>
        <v>35932021120715561565111</v>
      </c>
      <c r="C631" s="2" t="s">
        <v>9</v>
      </c>
      <c r="D631" s="2" t="str">
        <f>"麦秋翠"</f>
        <v>麦秋翠</v>
      </c>
      <c r="E631" s="2" t="str">
        <f t="shared" si="14"/>
        <v>女</v>
      </c>
    </row>
    <row r="632" spans="1:5" s="1" customFormat="1" ht="34.5" customHeight="1">
      <c r="A632" s="2">
        <v>630</v>
      </c>
      <c r="B632" s="2" t="str">
        <f>"35932021120715574765117"</f>
        <v>35932021120715574765117</v>
      </c>
      <c r="C632" s="2" t="s">
        <v>9</v>
      </c>
      <c r="D632" s="2" t="str">
        <f>"符慧娟"</f>
        <v>符慧娟</v>
      </c>
      <c r="E632" s="2" t="str">
        <f t="shared" si="14"/>
        <v>女</v>
      </c>
    </row>
    <row r="633" spans="1:5" s="1" customFormat="1" ht="34.5" customHeight="1">
      <c r="A633" s="2">
        <v>631</v>
      </c>
      <c r="B633" s="2" t="str">
        <f>"35932021120715584065120"</f>
        <v>35932021120715584065120</v>
      </c>
      <c r="C633" s="2" t="s">
        <v>9</v>
      </c>
      <c r="D633" s="2" t="str">
        <f>"雷恩慧"</f>
        <v>雷恩慧</v>
      </c>
      <c r="E633" s="2" t="str">
        <f t="shared" si="14"/>
        <v>女</v>
      </c>
    </row>
    <row r="634" spans="1:5" s="1" customFormat="1" ht="34.5" customHeight="1">
      <c r="A634" s="2">
        <v>632</v>
      </c>
      <c r="B634" s="2" t="str">
        <f>"35932021120716000065126"</f>
        <v>35932021120716000065126</v>
      </c>
      <c r="C634" s="2" t="s">
        <v>9</v>
      </c>
      <c r="D634" s="2" t="str">
        <f>"许宁"</f>
        <v>许宁</v>
      </c>
      <c r="E634" s="2" t="str">
        <f>"男"</f>
        <v>男</v>
      </c>
    </row>
    <row r="635" spans="1:5" s="1" customFormat="1" ht="34.5" customHeight="1">
      <c r="A635" s="2">
        <v>633</v>
      </c>
      <c r="B635" s="2" t="str">
        <f>"35932021120716015165131"</f>
        <v>35932021120716015165131</v>
      </c>
      <c r="C635" s="2" t="s">
        <v>9</v>
      </c>
      <c r="D635" s="2" t="str">
        <f>"谢琰"</f>
        <v>谢琰</v>
      </c>
      <c r="E635" s="2" t="str">
        <f>"男"</f>
        <v>男</v>
      </c>
    </row>
    <row r="636" spans="1:5" s="1" customFormat="1" ht="34.5" customHeight="1">
      <c r="A636" s="2">
        <v>634</v>
      </c>
      <c r="B636" s="2" t="str">
        <f>"35932021120716064565144"</f>
        <v>35932021120716064565144</v>
      </c>
      <c r="C636" s="2" t="s">
        <v>9</v>
      </c>
      <c r="D636" s="2" t="str">
        <f>"王宏谊"</f>
        <v>王宏谊</v>
      </c>
      <c r="E636" s="2" t="str">
        <f>"男"</f>
        <v>男</v>
      </c>
    </row>
    <row r="637" spans="1:5" s="1" customFormat="1" ht="34.5" customHeight="1">
      <c r="A637" s="2">
        <v>635</v>
      </c>
      <c r="B637" s="2" t="str">
        <f>"35932021120716084365152"</f>
        <v>35932021120716084365152</v>
      </c>
      <c r="C637" s="2" t="s">
        <v>9</v>
      </c>
      <c r="D637" s="2" t="str">
        <f>"翁美玲"</f>
        <v>翁美玲</v>
      </c>
      <c r="E637" s="2" t="str">
        <f aca="true" t="shared" si="15" ref="E637:E649">"女"</f>
        <v>女</v>
      </c>
    </row>
    <row r="638" spans="1:5" s="1" customFormat="1" ht="34.5" customHeight="1">
      <c r="A638" s="2">
        <v>636</v>
      </c>
      <c r="B638" s="2" t="str">
        <f>"35932021120716091965153"</f>
        <v>35932021120716091965153</v>
      </c>
      <c r="C638" s="2" t="s">
        <v>9</v>
      </c>
      <c r="D638" s="2" t="str">
        <f>"庞小晴"</f>
        <v>庞小晴</v>
      </c>
      <c r="E638" s="2" t="str">
        <f t="shared" si="15"/>
        <v>女</v>
      </c>
    </row>
    <row r="639" spans="1:5" s="1" customFormat="1" ht="34.5" customHeight="1">
      <c r="A639" s="2">
        <v>637</v>
      </c>
      <c r="B639" s="2" t="str">
        <f>"35932021120716281165201"</f>
        <v>35932021120716281165201</v>
      </c>
      <c r="C639" s="2" t="s">
        <v>9</v>
      </c>
      <c r="D639" s="2" t="str">
        <f>"房艳彬"</f>
        <v>房艳彬</v>
      </c>
      <c r="E639" s="2" t="str">
        <f t="shared" si="15"/>
        <v>女</v>
      </c>
    </row>
    <row r="640" spans="1:5" s="1" customFormat="1" ht="34.5" customHeight="1">
      <c r="A640" s="2">
        <v>638</v>
      </c>
      <c r="B640" s="2" t="str">
        <f>"35932021120716422465240"</f>
        <v>35932021120716422465240</v>
      </c>
      <c r="C640" s="2" t="s">
        <v>9</v>
      </c>
      <c r="D640" s="2" t="str">
        <f>"周波"</f>
        <v>周波</v>
      </c>
      <c r="E640" s="2" t="str">
        <f t="shared" si="15"/>
        <v>女</v>
      </c>
    </row>
    <row r="641" spans="1:5" s="1" customFormat="1" ht="34.5" customHeight="1">
      <c r="A641" s="2">
        <v>639</v>
      </c>
      <c r="B641" s="2" t="str">
        <f>"35932021120716435665243"</f>
        <v>35932021120716435665243</v>
      </c>
      <c r="C641" s="2" t="s">
        <v>9</v>
      </c>
      <c r="D641" s="2" t="str">
        <f>"唐小怡"</f>
        <v>唐小怡</v>
      </c>
      <c r="E641" s="2" t="str">
        <f t="shared" si="15"/>
        <v>女</v>
      </c>
    </row>
    <row r="642" spans="1:5" s="1" customFormat="1" ht="34.5" customHeight="1">
      <c r="A642" s="2">
        <v>640</v>
      </c>
      <c r="B642" s="2" t="str">
        <f>"35932021120716523665262"</f>
        <v>35932021120716523665262</v>
      </c>
      <c r="C642" s="2" t="s">
        <v>9</v>
      </c>
      <c r="D642" s="2" t="str">
        <f>"王诗茹"</f>
        <v>王诗茹</v>
      </c>
      <c r="E642" s="2" t="str">
        <f t="shared" si="15"/>
        <v>女</v>
      </c>
    </row>
    <row r="643" spans="1:5" s="1" customFormat="1" ht="34.5" customHeight="1">
      <c r="A643" s="2">
        <v>641</v>
      </c>
      <c r="B643" s="2" t="str">
        <f>"35932021120716544465266"</f>
        <v>35932021120716544465266</v>
      </c>
      <c r="C643" s="2" t="s">
        <v>9</v>
      </c>
      <c r="D643" s="2" t="str">
        <f>"黄鑫婉"</f>
        <v>黄鑫婉</v>
      </c>
      <c r="E643" s="2" t="str">
        <f t="shared" si="15"/>
        <v>女</v>
      </c>
    </row>
    <row r="644" spans="1:5" s="1" customFormat="1" ht="34.5" customHeight="1">
      <c r="A644" s="2">
        <v>642</v>
      </c>
      <c r="B644" s="2" t="str">
        <f>"35932021120716555965271"</f>
        <v>35932021120716555965271</v>
      </c>
      <c r="C644" s="2" t="s">
        <v>9</v>
      </c>
      <c r="D644" s="2" t="str">
        <f>"王鑫花"</f>
        <v>王鑫花</v>
      </c>
      <c r="E644" s="2" t="str">
        <f t="shared" si="15"/>
        <v>女</v>
      </c>
    </row>
    <row r="645" spans="1:5" s="1" customFormat="1" ht="34.5" customHeight="1">
      <c r="A645" s="2">
        <v>643</v>
      </c>
      <c r="B645" s="2" t="str">
        <f>"35932021120717194565315"</f>
        <v>35932021120717194565315</v>
      </c>
      <c r="C645" s="2" t="s">
        <v>9</v>
      </c>
      <c r="D645" s="2" t="str">
        <f>"方香"</f>
        <v>方香</v>
      </c>
      <c r="E645" s="2" t="str">
        <f t="shared" si="15"/>
        <v>女</v>
      </c>
    </row>
    <row r="646" spans="1:5" s="1" customFormat="1" ht="34.5" customHeight="1">
      <c r="A646" s="2">
        <v>644</v>
      </c>
      <c r="B646" s="2" t="str">
        <f>"35932021120717250165327"</f>
        <v>35932021120717250165327</v>
      </c>
      <c r="C646" s="2" t="s">
        <v>9</v>
      </c>
      <c r="D646" s="2" t="str">
        <f>"李海云"</f>
        <v>李海云</v>
      </c>
      <c r="E646" s="2" t="str">
        <f t="shared" si="15"/>
        <v>女</v>
      </c>
    </row>
    <row r="647" spans="1:5" s="1" customFormat="1" ht="34.5" customHeight="1">
      <c r="A647" s="2">
        <v>645</v>
      </c>
      <c r="B647" s="2" t="str">
        <f>"35932021120717355165338"</f>
        <v>35932021120717355165338</v>
      </c>
      <c r="C647" s="2" t="s">
        <v>9</v>
      </c>
      <c r="D647" s="2" t="str">
        <f>"王运丹"</f>
        <v>王运丹</v>
      </c>
      <c r="E647" s="2" t="str">
        <f t="shared" si="15"/>
        <v>女</v>
      </c>
    </row>
    <row r="648" spans="1:5" s="1" customFormat="1" ht="34.5" customHeight="1">
      <c r="A648" s="2">
        <v>646</v>
      </c>
      <c r="B648" s="2" t="str">
        <f>"35932021120717375565340"</f>
        <v>35932021120717375565340</v>
      </c>
      <c r="C648" s="2" t="s">
        <v>9</v>
      </c>
      <c r="D648" s="2" t="str">
        <f>"黄慧亮"</f>
        <v>黄慧亮</v>
      </c>
      <c r="E648" s="2" t="str">
        <f t="shared" si="15"/>
        <v>女</v>
      </c>
    </row>
    <row r="649" spans="1:5" s="1" customFormat="1" ht="34.5" customHeight="1">
      <c r="A649" s="2">
        <v>647</v>
      </c>
      <c r="B649" s="2" t="str">
        <f>"35932021120717390565342"</f>
        <v>35932021120717390565342</v>
      </c>
      <c r="C649" s="2" t="s">
        <v>9</v>
      </c>
      <c r="D649" s="2" t="str">
        <f>"廖晓彤"</f>
        <v>廖晓彤</v>
      </c>
      <c r="E649" s="2" t="str">
        <f t="shared" si="15"/>
        <v>女</v>
      </c>
    </row>
    <row r="650" spans="1:5" s="1" customFormat="1" ht="34.5" customHeight="1">
      <c r="A650" s="2">
        <v>648</v>
      </c>
      <c r="B650" s="2" t="str">
        <f>"35932021120717450465349"</f>
        <v>35932021120717450465349</v>
      </c>
      <c r="C650" s="2" t="s">
        <v>9</v>
      </c>
      <c r="D650" s="2" t="str">
        <f>"朱家骅"</f>
        <v>朱家骅</v>
      </c>
      <c r="E650" s="2" t="str">
        <f>"男"</f>
        <v>男</v>
      </c>
    </row>
    <row r="651" spans="1:5" s="1" customFormat="1" ht="34.5" customHeight="1">
      <c r="A651" s="2">
        <v>649</v>
      </c>
      <c r="B651" s="2" t="str">
        <f>"35932021120717450565350"</f>
        <v>35932021120717450565350</v>
      </c>
      <c r="C651" s="2" t="s">
        <v>9</v>
      </c>
      <c r="D651" s="2" t="str">
        <f>"张晓倩"</f>
        <v>张晓倩</v>
      </c>
      <c r="E651" s="2" t="str">
        <f>"女"</f>
        <v>女</v>
      </c>
    </row>
    <row r="652" spans="1:5" s="1" customFormat="1" ht="34.5" customHeight="1">
      <c r="A652" s="2">
        <v>650</v>
      </c>
      <c r="B652" s="2" t="str">
        <f>"35932021120717483365353"</f>
        <v>35932021120717483365353</v>
      </c>
      <c r="C652" s="2" t="s">
        <v>9</v>
      </c>
      <c r="D652" s="2" t="str">
        <f>"吴秀川"</f>
        <v>吴秀川</v>
      </c>
      <c r="E652" s="2" t="str">
        <f>"女"</f>
        <v>女</v>
      </c>
    </row>
    <row r="653" spans="1:5" s="1" customFormat="1" ht="34.5" customHeight="1">
      <c r="A653" s="2">
        <v>651</v>
      </c>
      <c r="B653" s="2" t="str">
        <f>"35932021120717520065355"</f>
        <v>35932021120717520065355</v>
      </c>
      <c r="C653" s="2" t="s">
        <v>9</v>
      </c>
      <c r="D653" s="2" t="str">
        <f>"翁玉婷"</f>
        <v>翁玉婷</v>
      </c>
      <c r="E653" s="2" t="str">
        <f>"女"</f>
        <v>女</v>
      </c>
    </row>
    <row r="654" spans="1:5" s="1" customFormat="1" ht="34.5" customHeight="1">
      <c r="A654" s="2">
        <v>652</v>
      </c>
      <c r="B654" s="2" t="str">
        <f>"35932021120718015765360"</f>
        <v>35932021120718015765360</v>
      </c>
      <c r="C654" s="2" t="s">
        <v>9</v>
      </c>
      <c r="D654" s="2" t="str">
        <f>"周悦"</f>
        <v>周悦</v>
      </c>
      <c r="E654" s="2" t="str">
        <f>"女"</f>
        <v>女</v>
      </c>
    </row>
    <row r="655" spans="1:5" s="1" customFormat="1" ht="34.5" customHeight="1">
      <c r="A655" s="2">
        <v>653</v>
      </c>
      <c r="B655" s="2" t="str">
        <f>"35932021120718031765361"</f>
        <v>35932021120718031765361</v>
      </c>
      <c r="C655" s="2" t="s">
        <v>9</v>
      </c>
      <c r="D655" s="2" t="str">
        <f>"黎太华"</f>
        <v>黎太华</v>
      </c>
      <c r="E655" s="2" t="str">
        <f>"男"</f>
        <v>男</v>
      </c>
    </row>
    <row r="656" spans="1:5" s="1" customFormat="1" ht="34.5" customHeight="1">
      <c r="A656" s="2">
        <v>654</v>
      </c>
      <c r="B656" s="2" t="str">
        <f>"35932021120718250465368"</f>
        <v>35932021120718250465368</v>
      </c>
      <c r="C656" s="2" t="s">
        <v>9</v>
      </c>
      <c r="D656" s="2" t="str">
        <f>"黄进辉"</f>
        <v>黄进辉</v>
      </c>
      <c r="E656" s="2" t="str">
        <f>"男"</f>
        <v>男</v>
      </c>
    </row>
    <row r="657" spans="1:5" s="1" customFormat="1" ht="34.5" customHeight="1">
      <c r="A657" s="2">
        <v>655</v>
      </c>
      <c r="B657" s="2" t="str">
        <f>"35932021120719210765405"</f>
        <v>35932021120719210765405</v>
      </c>
      <c r="C657" s="2" t="s">
        <v>9</v>
      </c>
      <c r="D657" s="2" t="str">
        <f>"赵居瑞"</f>
        <v>赵居瑞</v>
      </c>
      <c r="E657" s="2" t="str">
        <f>"男"</f>
        <v>男</v>
      </c>
    </row>
    <row r="658" spans="1:5" s="1" customFormat="1" ht="34.5" customHeight="1">
      <c r="A658" s="2">
        <v>656</v>
      </c>
      <c r="B658" s="2" t="str">
        <f>"35932021120719240665408"</f>
        <v>35932021120719240665408</v>
      </c>
      <c r="C658" s="2" t="s">
        <v>9</v>
      </c>
      <c r="D658" s="2" t="str">
        <f>"苏思思"</f>
        <v>苏思思</v>
      </c>
      <c r="E658" s="2" t="str">
        <f aca="true" t="shared" si="16" ref="E658:E668">"女"</f>
        <v>女</v>
      </c>
    </row>
    <row r="659" spans="1:5" s="1" customFormat="1" ht="34.5" customHeight="1">
      <c r="A659" s="2">
        <v>657</v>
      </c>
      <c r="B659" s="2" t="str">
        <f>"35932021120719312665415"</f>
        <v>35932021120719312665415</v>
      </c>
      <c r="C659" s="2" t="s">
        <v>9</v>
      </c>
      <c r="D659" s="2" t="str">
        <f>"王茜"</f>
        <v>王茜</v>
      </c>
      <c r="E659" s="2" t="str">
        <f t="shared" si="16"/>
        <v>女</v>
      </c>
    </row>
    <row r="660" spans="1:5" s="1" customFormat="1" ht="34.5" customHeight="1">
      <c r="A660" s="2">
        <v>658</v>
      </c>
      <c r="B660" s="2" t="str">
        <f>"35932021120719404565420"</f>
        <v>35932021120719404565420</v>
      </c>
      <c r="C660" s="2" t="s">
        <v>9</v>
      </c>
      <c r="D660" s="2" t="str">
        <f>"李梦怡"</f>
        <v>李梦怡</v>
      </c>
      <c r="E660" s="2" t="str">
        <f t="shared" si="16"/>
        <v>女</v>
      </c>
    </row>
    <row r="661" spans="1:5" s="1" customFormat="1" ht="34.5" customHeight="1">
      <c r="A661" s="2">
        <v>659</v>
      </c>
      <c r="B661" s="2" t="str">
        <f>"35932021120719530165429"</f>
        <v>35932021120719530165429</v>
      </c>
      <c r="C661" s="2" t="s">
        <v>9</v>
      </c>
      <c r="D661" s="2" t="str">
        <f>"赵妍"</f>
        <v>赵妍</v>
      </c>
      <c r="E661" s="2" t="str">
        <f t="shared" si="16"/>
        <v>女</v>
      </c>
    </row>
    <row r="662" spans="1:5" s="1" customFormat="1" ht="34.5" customHeight="1">
      <c r="A662" s="2">
        <v>660</v>
      </c>
      <c r="B662" s="2" t="str">
        <f>"35932021120719565465432"</f>
        <v>35932021120719565465432</v>
      </c>
      <c r="C662" s="2" t="s">
        <v>9</v>
      </c>
      <c r="D662" s="2" t="str">
        <f>"符婷慧"</f>
        <v>符婷慧</v>
      </c>
      <c r="E662" s="2" t="str">
        <f t="shared" si="16"/>
        <v>女</v>
      </c>
    </row>
    <row r="663" spans="1:5" s="1" customFormat="1" ht="34.5" customHeight="1">
      <c r="A663" s="2">
        <v>661</v>
      </c>
      <c r="B663" s="2" t="str">
        <f>"35932021120720024665437"</f>
        <v>35932021120720024665437</v>
      </c>
      <c r="C663" s="2" t="s">
        <v>9</v>
      </c>
      <c r="D663" s="2" t="str">
        <f>"陈铭蔚"</f>
        <v>陈铭蔚</v>
      </c>
      <c r="E663" s="2" t="str">
        <f t="shared" si="16"/>
        <v>女</v>
      </c>
    </row>
    <row r="664" spans="1:5" s="1" customFormat="1" ht="34.5" customHeight="1">
      <c r="A664" s="2">
        <v>662</v>
      </c>
      <c r="B664" s="2" t="str">
        <f>"35932021120720102765443"</f>
        <v>35932021120720102765443</v>
      </c>
      <c r="C664" s="2" t="s">
        <v>9</v>
      </c>
      <c r="D664" s="2" t="str">
        <f>"符宇群"</f>
        <v>符宇群</v>
      </c>
      <c r="E664" s="2" t="str">
        <f t="shared" si="16"/>
        <v>女</v>
      </c>
    </row>
    <row r="665" spans="1:5" s="1" customFormat="1" ht="34.5" customHeight="1">
      <c r="A665" s="2">
        <v>663</v>
      </c>
      <c r="B665" s="2" t="str">
        <f>"35932021120720303065452"</f>
        <v>35932021120720303065452</v>
      </c>
      <c r="C665" s="2" t="s">
        <v>9</v>
      </c>
      <c r="D665" s="2" t="str">
        <f>"李袁晨馨"</f>
        <v>李袁晨馨</v>
      </c>
      <c r="E665" s="2" t="str">
        <f t="shared" si="16"/>
        <v>女</v>
      </c>
    </row>
    <row r="666" spans="1:5" s="1" customFormat="1" ht="34.5" customHeight="1">
      <c r="A666" s="2">
        <v>664</v>
      </c>
      <c r="B666" s="2" t="str">
        <f>"35932021120720315065455"</f>
        <v>35932021120720315065455</v>
      </c>
      <c r="C666" s="2" t="s">
        <v>9</v>
      </c>
      <c r="D666" s="2" t="str">
        <f>"唐梦茜"</f>
        <v>唐梦茜</v>
      </c>
      <c r="E666" s="2" t="str">
        <f t="shared" si="16"/>
        <v>女</v>
      </c>
    </row>
    <row r="667" spans="1:5" s="1" customFormat="1" ht="34.5" customHeight="1">
      <c r="A667" s="2">
        <v>665</v>
      </c>
      <c r="B667" s="2" t="str">
        <f>"35932021120720392465459"</f>
        <v>35932021120720392465459</v>
      </c>
      <c r="C667" s="2" t="s">
        <v>9</v>
      </c>
      <c r="D667" s="2" t="str">
        <f>"张婷燕"</f>
        <v>张婷燕</v>
      </c>
      <c r="E667" s="2" t="str">
        <f t="shared" si="16"/>
        <v>女</v>
      </c>
    </row>
    <row r="668" spans="1:5" s="1" customFormat="1" ht="34.5" customHeight="1">
      <c r="A668" s="2">
        <v>666</v>
      </c>
      <c r="B668" s="2" t="str">
        <f>"35932021120720505665463"</f>
        <v>35932021120720505665463</v>
      </c>
      <c r="C668" s="2" t="s">
        <v>9</v>
      </c>
      <c r="D668" s="2" t="str">
        <f>"陈驰"</f>
        <v>陈驰</v>
      </c>
      <c r="E668" s="2" t="str">
        <f t="shared" si="16"/>
        <v>女</v>
      </c>
    </row>
    <row r="669" spans="1:5" s="1" customFormat="1" ht="34.5" customHeight="1">
      <c r="A669" s="2">
        <v>667</v>
      </c>
      <c r="B669" s="2" t="str">
        <f>"35932021120721260965484"</f>
        <v>35932021120721260965484</v>
      </c>
      <c r="C669" s="2" t="s">
        <v>9</v>
      </c>
      <c r="D669" s="2" t="str">
        <f>"黄麟植"</f>
        <v>黄麟植</v>
      </c>
      <c r="E669" s="2" t="str">
        <f>"男"</f>
        <v>男</v>
      </c>
    </row>
    <row r="670" spans="1:5" s="1" customFormat="1" ht="34.5" customHeight="1">
      <c r="A670" s="2">
        <v>668</v>
      </c>
      <c r="B670" s="2" t="str">
        <f>"35932021120721432165494"</f>
        <v>35932021120721432165494</v>
      </c>
      <c r="C670" s="2" t="s">
        <v>9</v>
      </c>
      <c r="D670" s="2" t="str">
        <f>"王樱抚"</f>
        <v>王樱抚</v>
      </c>
      <c r="E670" s="2" t="str">
        <f>"女"</f>
        <v>女</v>
      </c>
    </row>
    <row r="671" spans="1:5" s="1" customFormat="1" ht="34.5" customHeight="1">
      <c r="A671" s="2">
        <v>669</v>
      </c>
      <c r="B671" s="2" t="str">
        <f>"35932021120721450165496"</f>
        <v>35932021120721450165496</v>
      </c>
      <c r="C671" s="2" t="s">
        <v>9</v>
      </c>
      <c r="D671" s="2" t="str">
        <f>"李秋阳"</f>
        <v>李秋阳</v>
      </c>
      <c r="E671" s="2" t="str">
        <f>"女"</f>
        <v>女</v>
      </c>
    </row>
    <row r="672" spans="1:5" s="1" customFormat="1" ht="34.5" customHeight="1">
      <c r="A672" s="2">
        <v>670</v>
      </c>
      <c r="B672" s="2" t="str">
        <f>"35932021120721531165499"</f>
        <v>35932021120721531165499</v>
      </c>
      <c r="C672" s="2" t="s">
        <v>9</v>
      </c>
      <c r="D672" s="2" t="str">
        <f>"刘英相"</f>
        <v>刘英相</v>
      </c>
      <c r="E672" s="2" t="str">
        <f>"男"</f>
        <v>男</v>
      </c>
    </row>
    <row r="673" spans="1:5" s="1" customFormat="1" ht="34.5" customHeight="1">
      <c r="A673" s="2">
        <v>671</v>
      </c>
      <c r="B673" s="2" t="str">
        <f>"35932021120722130065513"</f>
        <v>35932021120722130065513</v>
      </c>
      <c r="C673" s="2" t="s">
        <v>9</v>
      </c>
      <c r="D673" s="2" t="str">
        <f>"符吉娜"</f>
        <v>符吉娜</v>
      </c>
      <c r="E673" s="2" t="str">
        <f>"女"</f>
        <v>女</v>
      </c>
    </row>
    <row r="674" spans="1:5" s="1" customFormat="1" ht="34.5" customHeight="1">
      <c r="A674" s="2">
        <v>672</v>
      </c>
      <c r="B674" s="2" t="str">
        <f>"35932021120722263665520"</f>
        <v>35932021120722263665520</v>
      </c>
      <c r="C674" s="2" t="s">
        <v>9</v>
      </c>
      <c r="D674" s="2" t="str">
        <f>"孙树柯"</f>
        <v>孙树柯</v>
      </c>
      <c r="E674" s="2" t="str">
        <f>"男"</f>
        <v>男</v>
      </c>
    </row>
    <row r="675" spans="1:5" s="1" customFormat="1" ht="34.5" customHeight="1">
      <c r="A675" s="2">
        <v>673</v>
      </c>
      <c r="B675" s="2" t="str">
        <f>"35932021120722285865523"</f>
        <v>35932021120722285865523</v>
      </c>
      <c r="C675" s="2" t="s">
        <v>9</v>
      </c>
      <c r="D675" s="2" t="str">
        <f>"符玉萍"</f>
        <v>符玉萍</v>
      </c>
      <c r="E675" s="2" t="str">
        <f>"女"</f>
        <v>女</v>
      </c>
    </row>
    <row r="676" spans="1:5" s="1" customFormat="1" ht="34.5" customHeight="1">
      <c r="A676" s="2">
        <v>674</v>
      </c>
      <c r="B676" s="2" t="str">
        <f>"35932021120722344765526"</f>
        <v>35932021120722344765526</v>
      </c>
      <c r="C676" s="2" t="s">
        <v>9</v>
      </c>
      <c r="D676" s="2" t="str">
        <f>"陈南南"</f>
        <v>陈南南</v>
      </c>
      <c r="E676" s="2" t="str">
        <f>"女"</f>
        <v>女</v>
      </c>
    </row>
    <row r="677" spans="1:5" s="1" customFormat="1" ht="34.5" customHeight="1">
      <c r="A677" s="2">
        <v>675</v>
      </c>
      <c r="B677" s="2" t="str">
        <f>"35932021120722352065527"</f>
        <v>35932021120722352065527</v>
      </c>
      <c r="C677" s="2" t="s">
        <v>9</v>
      </c>
      <c r="D677" s="2" t="str">
        <f>"刘爽"</f>
        <v>刘爽</v>
      </c>
      <c r="E677" s="2" t="str">
        <f>"男"</f>
        <v>男</v>
      </c>
    </row>
    <row r="678" spans="1:5" s="1" customFormat="1" ht="34.5" customHeight="1">
      <c r="A678" s="2">
        <v>676</v>
      </c>
      <c r="B678" s="2" t="str">
        <f>"35932021120723400365554"</f>
        <v>35932021120723400365554</v>
      </c>
      <c r="C678" s="2" t="s">
        <v>9</v>
      </c>
      <c r="D678" s="2" t="str">
        <f>"韩东东"</f>
        <v>韩东东</v>
      </c>
      <c r="E678" s="2" t="str">
        <f>"男"</f>
        <v>男</v>
      </c>
    </row>
    <row r="679" spans="1:5" s="1" customFormat="1" ht="34.5" customHeight="1">
      <c r="A679" s="2">
        <v>677</v>
      </c>
      <c r="B679" s="2" t="str">
        <f>"35932021120800110865560"</f>
        <v>35932021120800110865560</v>
      </c>
      <c r="C679" s="2" t="s">
        <v>9</v>
      </c>
      <c r="D679" s="2" t="str">
        <f>"谢莉梅"</f>
        <v>谢莉梅</v>
      </c>
      <c r="E679" s="2" t="str">
        <f aca="true" t="shared" si="17" ref="E679:E692">"女"</f>
        <v>女</v>
      </c>
    </row>
    <row r="680" spans="1:5" s="1" customFormat="1" ht="34.5" customHeight="1">
      <c r="A680" s="2">
        <v>678</v>
      </c>
      <c r="B680" s="2" t="str">
        <f>"35932021120800404265566"</f>
        <v>35932021120800404265566</v>
      </c>
      <c r="C680" s="2" t="s">
        <v>9</v>
      </c>
      <c r="D680" s="2" t="str">
        <f>"郑景莹"</f>
        <v>郑景莹</v>
      </c>
      <c r="E680" s="2" t="str">
        <f t="shared" si="17"/>
        <v>女</v>
      </c>
    </row>
    <row r="681" spans="1:5" s="1" customFormat="1" ht="34.5" customHeight="1">
      <c r="A681" s="2">
        <v>679</v>
      </c>
      <c r="B681" s="2" t="str">
        <f>"35932021120808352665580"</f>
        <v>35932021120808352665580</v>
      </c>
      <c r="C681" s="2" t="s">
        <v>9</v>
      </c>
      <c r="D681" s="2" t="str">
        <f>"张彩琴"</f>
        <v>张彩琴</v>
      </c>
      <c r="E681" s="2" t="str">
        <f t="shared" si="17"/>
        <v>女</v>
      </c>
    </row>
    <row r="682" spans="1:5" s="1" customFormat="1" ht="34.5" customHeight="1">
      <c r="A682" s="2">
        <v>680</v>
      </c>
      <c r="B682" s="2" t="str">
        <f>"35932021120808393465583"</f>
        <v>35932021120808393465583</v>
      </c>
      <c r="C682" s="2" t="s">
        <v>9</v>
      </c>
      <c r="D682" s="2" t="str">
        <f>"王丽莹"</f>
        <v>王丽莹</v>
      </c>
      <c r="E682" s="2" t="str">
        <f t="shared" si="17"/>
        <v>女</v>
      </c>
    </row>
    <row r="683" spans="1:5" s="1" customFormat="1" ht="34.5" customHeight="1">
      <c r="A683" s="2">
        <v>681</v>
      </c>
      <c r="B683" s="2" t="str">
        <f>"35932021120808454265588"</f>
        <v>35932021120808454265588</v>
      </c>
      <c r="C683" s="2" t="s">
        <v>9</v>
      </c>
      <c r="D683" s="2" t="str">
        <f>"卓心茹"</f>
        <v>卓心茹</v>
      </c>
      <c r="E683" s="2" t="str">
        <f t="shared" si="17"/>
        <v>女</v>
      </c>
    </row>
    <row r="684" spans="1:5" s="1" customFormat="1" ht="34.5" customHeight="1">
      <c r="A684" s="2">
        <v>682</v>
      </c>
      <c r="B684" s="2" t="str">
        <f>"35932021120808482365590"</f>
        <v>35932021120808482365590</v>
      </c>
      <c r="C684" s="2" t="s">
        <v>9</v>
      </c>
      <c r="D684" s="2" t="str">
        <f>"吴岳健"</f>
        <v>吴岳健</v>
      </c>
      <c r="E684" s="2" t="str">
        <f t="shared" si="17"/>
        <v>女</v>
      </c>
    </row>
    <row r="685" spans="1:5" s="1" customFormat="1" ht="34.5" customHeight="1">
      <c r="A685" s="2">
        <v>683</v>
      </c>
      <c r="B685" s="2" t="str">
        <f>"35932021120808503965593"</f>
        <v>35932021120808503965593</v>
      </c>
      <c r="C685" s="2" t="s">
        <v>9</v>
      </c>
      <c r="D685" s="2" t="str">
        <f>"吴星"</f>
        <v>吴星</v>
      </c>
      <c r="E685" s="2" t="str">
        <f t="shared" si="17"/>
        <v>女</v>
      </c>
    </row>
    <row r="686" spans="1:5" s="1" customFormat="1" ht="34.5" customHeight="1">
      <c r="A686" s="2">
        <v>684</v>
      </c>
      <c r="B686" s="2" t="str">
        <f>"35932021120808575465597"</f>
        <v>35932021120808575465597</v>
      </c>
      <c r="C686" s="2" t="s">
        <v>9</v>
      </c>
      <c r="D686" s="2" t="str">
        <f>"符青"</f>
        <v>符青</v>
      </c>
      <c r="E686" s="2" t="str">
        <f t="shared" si="17"/>
        <v>女</v>
      </c>
    </row>
    <row r="687" spans="1:5" s="1" customFormat="1" ht="34.5" customHeight="1">
      <c r="A687" s="2">
        <v>685</v>
      </c>
      <c r="B687" s="2" t="str">
        <f>"35932021120809024665602"</f>
        <v>35932021120809024665602</v>
      </c>
      <c r="C687" s="2" t="s">
        <v>9</v>
      </c>
      <c r="D687" s="2" t="str">
        <f>"卢桐"</f>
        <v>卢桐</v>
      </c>
      <c r="E687" s="2" t="str">
        <f t="shared" si="17"/>
        <v>女</v>
      </c>
    </row>
    <row r="688" spans="1:5" s="1" customFormat="1" ht="34.5" customHeight="1">
      <c r="A688" s="2">
        <v>686</v>
      </c>
      <c r="B688" s="2" t="str">
        <f>"35932021120809030765604"</f>
        <v>35932021120809030765604</v>
      </c>
      <c r="C688" s="2" t="s">
        <v>9</v>
      </c>
      <c r="D688" s="2" t="str">
        <f>"潘优迪"</f>
        <v>潘优迪</v>
      </c>
      <c r="E688" s="2" t="str">
        <f t="shared" si="17"/>
        <v>女</v>
      </c>
    </row>
    <row r="689" spans="1:5" s="1" customFormat="1" ht="34.5" customHeight="1">
      <c r="A689" s="2">
        <v>687</v>
      </c>
      <c r="B689" s="2" t="str">
        <f>"35932021120809331765626"</f>
        <v>35932021120809331765626</v>
      </c>
      <c r="C689" s="2" t="s">
        <v>9</v>
      </c>
      <c r="D689" s="2" t="str">
        <f>"吴娇妃"</f>
        <v>吴娇妃</v>
      </c>
      <c r="E689" s="2" t="str">
        <f t="shared" si="17"/>
        <v>女</v>
      </c>
    </row>
    <row r="690" spans="1:5" s="1" customFormat="1" ht="34.5" customHeight="1">
      <c r="A690" s="2">
        <v>688</v>
      </c>
      <c r="B690" s="2" t="str">
        <f>"35932021120810170565665"</f>
        <v>35932021120810170565665</v>
      </c>
      <c r="C690" s="2" t="s">
        <v>9</v>
      </c>
      <c r="D690" s="2" t="str">
        <f>"王惠芬"</f>
        <v>王惠芬</v>
      </c>
      <c r="E690" s="2" t="str">
        <f t="shared" si="17"/>
        <v>女</v>
      </c>
    </row>
    <row r="691" spans="1:5" s="1" customFormat="1" ht="34.5" customHeight="1">
      <c r="A691" s="2">
        <v>689</v>
      </c>
      <c r="B691" s="2" t="str">
        <f>"35932021120810173065668"</f>
        <v>35932021120810173065668</v>
      </c>
      <c r="C691" s="2" t="s">
        <v>9</v>
      </c>
      <c r="D691" s="2" t="str">
        <f>"张小梅"</f>
        <v>张小梅</v>
      </c>
      <c r="E691" s="2" t="str">
        <f t="shared" si="17"/>
        <v>女</v>
      </c>
    </row>
    <row r="692" spans="1:5" s="1" customFormat="1" ht="34.5" customHeight="1">
      <c r="A692" s="2">
        <v>690</v>
      </c>
      <c r="B692" s="2" t="str">
        <f>"35932021120810185165669"</f>
        <v>35932021120810185165669</v>
      </c>
      <c r="C692" s="2" t="s">
        <v>9</v>
      </c>
      <c r="D692" s="2" t="str">
        <f>"王慧珍"</f>
        <v>王慧珍</v>
      </c>
      <c r="E692" s="2" t="str">
        <f t="shared" si="17"/>
        <v>女</v>
      </c>
    </row>
    <row r="693" spans="1:5" s="1" customFormat="1" ht="34.5" customHeight="1">
      <c r="A693" s="2">
        <v>691</v>
      </c>
      <c r="B693" s="2" t="str">
        <f>"35932021120810215365671"</f>
        <v>35932021120810215365671</v>
      </c>
      <c r="C693" s="2" t="s">
        <v>9</v>
      </c>
      <c r="D693" s="2" t="str">
        <f>"叶重志"</f>
        <v>叶重志</v>
      </c>
      <c r="E693" s="2" t="str">
        <f>"男"</f>
        <v>男</v>
      </c>
    </row>
    <row r="694" spans="1:5" s="1" customFormat="1" ht="34.5" customHeight="1">
      <c r="A694" s="2">
        <v>692</v>
      </c>
      <c r="B694" s="2" t="str">
        <f>"35932021120810411065690"</f>
        <v>35932021120810411065690</v>
      </c>
      <c r="C694" s="2" t="s">
        <v>9</v>
      </c>
      <c r="D694" s="2" t="str">
        <f>"曾琢"</f>
        <v>曾琢</v>
      </c>
      <c r="E694" s="2" t="str">
        <f>"女"</f>
        <v>女</v>
      </c>
    </row>
    <row r="695" spans="1:5" s="1" customFormat="1" ht="34.5" customHeight="1">
      <c r="A695" s="2">
        <v>693</v>
      </c>
      <c r="B695" s="2" t="str">
        <f>"35932021120810450565693"</f>
        <v>35932021120810450565693</v>
      </c>
      <c r="C695" s="2" t="s">
        <v>9</v>
      </c>
      <c r="D695" s="2" t="str">
        <f>"杨木子"</f>
        <v>杨木子</v>
      </c>
      <c r="E695" s="2" t="str">
        <f>"女"</f>
        <v>女</v>
      </c>
    </row>
    <row r="696" spans="1:5" s="1" customFormat="1" ht="34.5" customHeight="1">
      <c r="A696" s="2">
        <v>694</v>
      </c>
      <c r="B696" s="2" t="str">
        <f>"35932021120811225365720"</f>
        <v>35932021120811225365720</v>
      </c>
      <c r="C696" s="2" t="s">
        <v>9</v>
      </c>
      <c r="D696" s="2" t="str">
        <f>"黄徐梓钰"</f>
        <v>黄徐梓钰</v>
      </c>
      <c r="E696" s="2" t="str">
        <f>"女"</f>
        <v>女</v>
      </c>
    </row>
    <row r="697" spans="1:5" s="1" customFormat="1" ht="34.5" customHeight="1">
      <c r="A697" s="2">
        <v>695</v>
      </c>
      <c r="B697" s="2" t="str">
        <f>"35932021120811251865721"</f>
        <v>35932021120811251865721</v>
      </c>
      <c r="C697" s="2" t="s">
        <v>9</v>
      </c>
      <c r="D697" s="2" t="str">
        <f>"郭芳菊"</f>
        <v>郭芳菊</v>
      </c>
      <c r="E697" s="2" t="str">
        <f>"女"</f>
        <v>女</v>
      </c>
    </row>
    <row r="698" spans="1:5" s="1" customFormat="1" ht="34.5" customHeight="1">
      <c r="A698" s="2">
        <v>696</v>
      </c>
      <c r="B698" s="2" t="str">
        <f>"35932021120812285865760"</f>
        <v>35932021120812285865760</v>
      </c>
      <c r="C698" s="2" t="s">
        <v>9</v>
      </c>
      <c r="D698" s="2" t="str">
        <f>"符孝明"</f>
        <v>符孝明</v>
      </c>
      <c r="E698" s="2" t="str">
        <f>"男"</f>
        <v>男</v>
      </c>
    </row>
    <row r="699" spans="1:5" s="1" customFormat="1" ht="34.5" customHeight="1">
      <c r="A699" s="2">
        <v>697</v>
      </c>
      <c r="B699" s="2" t="str">
        <f>"35932021120813175565785"</f>
        <v>35932021120813175565785</v>
      </c>
      <c r="C699" s="2" t="s">
        <v>9</v>
      </c>
      <c r="D699" s="2" t="str">
        <f>"钟义婷"</f>
        <v>钟义婷</v>
      </c>
      <c r="E699" s="2" t="str">
        <f aca="true" t="shared" si="18" ref="E699:E706">"女"</f>
        <v>女</v>
      </c>
    </row>
    <row r="700" spans="1:5" s="1" customFormat="1" ht="34.5" customHeight="1">
      <c r="A700" s="2">
        <v>698</v>
      </c>
      <c r="B700" s="2" t="str">
        <f>"35932021120814212165814"</f>
        <v>35932021120814212165814</v>
      </c>
      <c r="C700" s="2" t="s">
        <v>9</v>
      </c>
      <c r="D700" s="2" t="str">
        <f>"蔡亦秋"</f>
        <v>蔡亦秋</v>
      </c>
      <c r="E700" s="2" t="str">
        <f t="shared" si="18"/>
        <v>女</v>
      </c>
    </row>
    <row r="701" spans="1:5" s="1" customFormat="1" ht="34.5" customHeight="1">
      <c r="A701" s="2">
        <v>699</v>
      </c>
      <c r="B701" s="2" t="str">
        <f>"35932021120814464965829"</f>
        <v>35932021120814464965829</v>
      </c>
      <c r="C701" s="2" t="s">
        <v>9</v>
      </c>
      <c r="D701" s="2" t="str">
        <f>"陈孟玲"</f>
        <v>陈孟玲</v>
      </c>
      <c r="E701" s="2" t="str">
        <f t="shared" si="18"/>
        <v>女</v>
      </c>
    </row>
    <row r="702" spans="1:5" s="1" customFormat="1" ht="34.5" customHeight="1">
      <c r="A702" s="2">
        <v>700</v>
      </c>
      <c r="B702" s="2" t="str">
        <f>"35932021120815295865849"</f>
        <v>35932021120815295865849</v>
      </c>
      <c r="C702" s="2" t="s">
        <v>9</v>
      </c>
      <c r="D702" s="2" t="str">
        <f>"符美曦"</f>
        <v>符美曦</v>
      </c>
      <c r="E702" s="2" t="str">
        <f t="shared" si="18"/>
        <v>女</v>
      </c>
    </row>
    <row r="703" spans="1:5" s="1" customFormat="1" ht="34.5" customHeight="1">
      <c r="A703" s="2">
        <v>701</v>
      </c>
      <c r="B703" s="2" t="str">
        <f>"35932021120815361865853"</f>
        <v>35932021120815361865853</v>
      </c>
      <c r="C703" s="2" t="s">
        <v>9</v>
      </c>
      <c r="D703" s="2" t="str">
        <f>"曾文园"</f>
        <v>曾文园</v>
      </c>
      <c r="E703" s="2" t="str">
        <f t="shared" si="18"/>
        <v>女</v>
      </c>
    </row>
    <row r="704" spans="1:5" s="1" customFormat="1" ht="34.5" customHeight="1">
      <c r="A704" s="2">
        <v>702</v>
      </c>
      <c r="B704" s="2" t="str">
        <f>"35932021120815475765866"</f>
        <v>35932021120815475765866</v>
      </c>
      <c r="C704" s="2" t="s">
        <v>9</v>
      </c>
      <c r="D704" s="2" t="str">
        <f>"王欢"</f>
        <v>王欢</v>
      </c>
      <c r="E704" s="2" t="str">
        <f t="shared" si="18"/>
        <v>女</v>
      </c>
    </row>
    <row r="705" spans="1:5" s="1" customFormat="1" ht="34.5" customHeight="1">
      <c r="A705" s="2">
        <v>703</v>
      </c>
      <c r="B705" s="2" t="str">
        <f>"35932021120815510665869"</f>
        <v>35932021120815510665869</v>
      </c>
      <c r="C705" s="2" t="s">
        <v>9</v>
      </c>
      <c r="D705" s="2" t="str">
        <f>"曾巧凌"</f>
        <v>曾巧凌</v>
      </c>
      <c r="E705" s="2" t="str">
        <f t="shared" si="18"/>
        <v>女</v>
      </c>
    </row>
    <row r="706" spans="1:5" s="1" customFormat="1" ht="34.5" customHeight="1">
      <c r="A706" s="2">
        <v>704</v>
      </c>
      <c r="B706" s="2" t="str">
        <f>"35932021120815545165874"</f>
        <v>35932021120815545165874</v>
      </c>
      <c r="C706" s="2" t="s">
        <v>9</v>
      </c>
      <c r="D706" s="2" t="str">
        <f>"林倩伊"</f>
        <v>林倩伊</v>
      </c>
      <c r="E706" s="2" t="str">
        <f t="shared" si="18"/>
        <v>女</v>
      </c>
    </row>
    <row r="707" spans="1:5" s="1" customFormat="1" ht="34.5" customHeight="1">
      <c r="A707" s="2">
        <v>705</v>
      </c>
      <c r="B707" s="2" t="str">
        <f>"35932021120816024665883"</f>
        <v>35932021120816024665883</v>
      </c>
      <c r="C707" s="2" t="s">
        <v>9</v>
      </c>
      <c r="D707" s="2" t="str">
        <f>"谢青山"</f>
        <v>谢青山</v>
      </c>
      <c r="E707" s="2" t="str">
        <f>"男"</f>
        <v>男</v>
      </c>
    </row>
    <row r="708" spans="1:5" s="1" customFormat="1" ht="34.5" customHeight="1">
      <c r="A708" s="2">
        <v>706</v>
      </c>
      <c r="B708" s="2" t="str">
        <f>"35932021120816061765885"</f>
        <v>35932021120816061765885</v>
      </c>
      <c r="C708" s="2" t="s">
        <v>9</v>
      </c>
      <c r="D708" s="2" t="str">
        <f>"苏丽丽"</f>
        <v>苏丽丽</v>
      </c>
      <c r="E708" s="2" t="str">
        <f aca="true" t="shared" si="19" ref="E708:E718">"女"</f>
        <v>女</v>
      </c>
    </row>
    <row r="709" spans="1:5" s="1" customFormat="1" ht="34.5" customHeight="1">
      <c r="A709" s="2">
        <v>707</v>
      </c>
      <c r="B709" s="2" t="str">
        <f>"35932021120816262265899"</f>
        <v>35932021120816262265899</v>
      </c>
      <c r="C709" s="2" t="s">
        <v>9</v>
      </c>
      <c r="D709" s="2" t="str">
        <f>"郑玉"</f>
        <v>郑玉</v>
      </c>
      <c r="E709" s="2" t="str">
        <f t="shared" si="19"/>
        <v>女</v>
      </c>
    </row>
    <row r="710" spans="1:5" s="1" customFormat="1" ht="34.5" customHeight="1">
      <c r="A710" s="2">
        <v>708</v>
      </c>
      <c r="B710" s="2" t="str">
        <f>"35932021120816482965905"</f>
        <v>35932021120816482965905</v>
      </c>
      <c r="C710" s="2" t="s">
        <v>9</v>
      </c>
      <c r="D710" s="2" t="str">
        <f>"卓雅婷"</f>
        <v>卓雅婷</v>
      </c>
      <c r="E710" s="2" t="str">
        <f t="shared" si="19"/>
        <v>女</v>
      </c>
    </row>
    <row r="711" spans="1:5" s="1" customFormat="1" ht="34.5" customHeight="1">
      <c r="A711" s="2">
        <v>709</v>
      </c>
      <c r="B711" s="2" t="str">
        <f>"35932021120816594165913"</f>
        <v>35932021120816594165913</v>
      </c>
      <c r="C711" s="2" t="s">
        <v>9</v>
      </c>
      <c r="D711" s="2" t="str">
        <f>"王思琦"</f>
        <v>王思琦</v>
      </c>
      <c r="E711" s="2" t="str">
        <f t="shared" si="19"/>
        <v>女</v>
      </c>
    </row>
    <row r="712" spans="1:5" s="1" customFormat="1" ht="34.5" customHeight="1">
      <c r="A712" s="2">
        <v>710</v>
      </c>
      <c r="B712" s="2" t="str">
        <f>"35932021120817503165939"</f>
        <v>35932021120817503165939</v>
      </c>
      <c r="C712" s="2" t="s">
        <v>9</v>
      </c>
      <c r="D712" s="2" t="str">
        <f>"林静"</f>
        <v>林静</v>
      </c>
      <c r="E712" s="2" t="str">
        <f t="shared" si="19"/>
        <v>女</v>
      </c>
    </row>
    <row r="713" spans="1:5" s="1" customFormat="1" ht="34.5" customHeight="1">
      <c r="A713" s="2">
        <v>711</v>
      </c>
      <c r="B713" s="2" t="str">
        <f>"35932021120817561465943"</f>
        <v>35932021120817561465943</v>
      </c>
      <c r="C713" s="2" t="s">
        <v>9</v>
      </c>
      <c r="D713" s="2" t="str">
        <f>"梁珍榕"</f>
        <v>梁珍榕</v>
      </c>
      <c r="E713" s="2" t="str">
        <f t="shared" si="19"/>
        <v>女</v>
      </c>
    </row>
    <row r="714" spans="1:5" s="1" customFormat="1" ht="34.5" customHeight="1">
      <c r="A714" s="2">
        <v>712</v>
      </c>
      <c r="B714" s="2" t="str">
        <f>"35932021120818123565948"</f>
        <v>35932021120818123565948</v>
      </c>
      <c r="C714" s="2" t="s">
        <v>9</v>
      </c>
      <c r="D714" s="2" t="str">
        <f>"黄小丽"</f>
        <v>黄小丽</v>
      </c>
      <c r="E714" s="2" t="str">
        <f t="shared" si="19"/>
        <v>女</v>
      </c>
    </row>
    <row r="715" spans="1:5" s="1" customFormat="1" ht="34.5" customHeight="1">
      <c r="A715" s="2">
        <v>713</v>
      </c>
      <c r="B715" s="2" t="str">
        <f>"35932021120818223065952"</f>
        <v>35932021120818223065952</v>
      </c>
      <c r="C715" s="2" t="s">
        <v>9</v>
      </c>
      <c r="D715" s="2" t="str">
        <f>"陈宇"</f>
        <v>陈宇</v>
      </c>
      <c r="E715" s="2" t="str">
        <f t="shared" si="19"/>
        <v>女</v>
      </c>
    </row>
    <row r="716" spans="1:5" s="1" customFormat="1" ht="34.5" customHeight="1">
      <c r="A716" s="2">
        <v>714</v>
      </c>
      <c r="B716" s="2" t="str">
        <f>"35932021120818313065955"</f>
        <v>35932021120818313065955</v>
      </c>
      <c r="C716" s="2" t="s">
        <v>9</v>
      </c>
      <c r="D716" s="2" t="str">
        <f>"陈悦"</f>
        <v>陈悦</v>
      </c>
      <c r="E716" s="2" t="str">
        <f t="shared" si="19"/>
        <v>女</v>
      </c>
    </row>
    <row r="717" spans="1:5" s="1" customFormat="1" ht="34.5" customHeight="1">
      <c r="A717" s="2">
        <v>715</v>
      </c>
      <c r="B717" s="2" t="str">
        <f>"35932021120819473765980"</f>
        <v>35932021120819473765980</v>
      </c>
      <c r="C717" s="2" t="s">
        <v>9</v>
      </c>
      <c r="D717" s="2" t="str">
        <f>"龙妍妍"</f>
        <v>龙妍妍</v>
      </c>
      <c r="E717" s="2" t="str">
        <f t="shared" si="19"/>
        <v>女</v>
      </c>
    </row>
    <row r="718" spans="1:5" s="1" customFormat="1" ht="34.5" customHeight="1">
      <c r="A718" s="2">
        <v>716</v>
      </c>
      <c r="B718" s="2" t="str">
        <f>"35932021120819511365982"</f>
        <v>35932021120819511365982</v>
      </c>
      <c r="C718" s="2" t="s">
        <v>9</v>
      </c>
      <c r="D718" s="2" t="str">
        <f>"庞雪鸿"</f>
        <v>庞雪鸿</v>
      </c>
      <c r="E718" s="2" t="str">
        <f t="shared" si="19"/>
        <v>女</v>
      </c>
    </row>
    <row r="719" spans="1:5" s="1" customFormat="1" ht="34.5" customHeight="1">
      <c r="A719" s="2">
        <v>717</v>
      </c>
      <c r="B719" s="2" t="str">
        <f>"35932021120819523765984"</f>
        <v>35932021120819523765984</v>
      </c>
      <c r="C719" s="2" t="s">
        <v>9</v>
      </c>
      <c r="D719" s="2" t="str">
        <f>"王业权"</f>
        <v>王业权</v>
      </c>
      <c r="E719" s="2" t="str">
        <f>"男"</f>
        <v>男</v>
      </c>
    </row>
    <row r="720" spans="1:5" s="1" customFormat="1" ht="34.5" customHeight="1">
      <c r="A720" s="2">
        <v>718</v>
      </c>
      <c r="B720" s="2" t="str">
        <f>"35932021120820002665989"</f>
        <v>35932021120820002665989</v>
      </c>
      <c r="C720" s="2" t="s">
        <v>9</v>
      </c>
      <c r="D720" s="2" t="str">
        <f>"周嘉欣"</f>
        <v>周嘉欣</v>
      </c>
      <c r="E720" s="2" t="str">
        <f aca="true" t="shared" si="20" ref="E720:E726">"女"</f>
        <v>女</v>
      </c>
    </row>
    <row r="721" spans="1:5" s="1" customFormat="1" ht="34.5" customHeight="1">
      <c r="A721" s="2">
        <v>719</v>
      </c>
      <c r="B721" s="2" t="str">
        <f>"35932021120820584666022"</f>
        <v>35932021120820584666022</v>
      </c>
      <c r="C721" s="2" t="s">
        <v>9</v>
      </c>
      <c r="D721" s="2" t="str">
        <f>"林萃"</f>
        <v>林萃</v>
      </c>
      <c r="E721" s="2" t="str">
        <f t="shared" si="20"/>
        <v>女</v>
      </c>
    </row>
    <row r="722" spans="1:5" s="1" customFormat="1" ht="34.5" customHeight="1">
      <c r="A722" s="2">
        <v>720</v>
      </c>
      <c r="B722" s="2" t="str">
        <f>"35932021120821114266031"</f>
        <v>35932021120821114266031</v>
      </c>
      <c r="C722" s="2" t="s">
        <v>9</v>
      </c>
      <c r="D722" s="2" t="str">
        <f>"冯小雯"</f>
        <v>冯小雯</v>
      </c>
      <c r="E722" s="2" t="str">
        <f t="shared" si="20"/>
        <v>女</v>
      </c>
    </row>
    <row r="723" spans="1:5" s="1" customFormat="1" ht="34.5" customHeight="1">
      <c r="A723" s="2">
        <v>721</v>
      </c>
      <c r="B723" s="2" t="str">
        <f>"35932021120821202266033"</f>
        <v>35932021120821202266033</v>
      </c>
      <c r="C723" s="2" t="s">
        <v>9</v>
      </c>
      <c r="D723" s="2" t="str">
        <f>"龚芮凡"</f>
        <v>龚芮凡</v>
      </c>
      <c r="E723" s="2" t="str">
        <f t="shared" si="20"/>
        <v>女</v>
      </c>
    </row>
    <row r="724" spans="1:5" s="1" customFormat="1" ht="34.5" customHeight="1">
      <c r="A724" s="2">
        <v>722</v>
      </c>
      <c r="B724" s="2" t="str">
        <f>"35932021120821415566044"</f>
        <v>35932021120821415566044</v>
      </c>
      <c r="C724" s="2" t="s">
        <v>9</v>
      </c>
      <c r="D724" s="2" t="str">
        <f>"冯韵晴"</f>
        <v>冯韵晴</v>
      </c>
      <c r="E724" s="2" t="str">
        <f t="shared" si="20"/>
        <v>女</v>
      </c>
    </row>
    <row r="725" spans="1:5" s="1" customFormat="1" ht="34.5" customHeight="1">
      <c r="A725" s="2">
        <v>723</v>
      </c>
      <c r="B725" s="2" t="str">
        <f>"35932021120822144766062"</f>
        <v>35932021120822144766062</v>
      </c>
      <c r="C725" s="2" t="s">
        <v>9</v>
      </c>
      <c r="D725" s="2" t="str">
        <f>"黄小红"</f>
        <v>黄小红</v>
      </c>
      <c r="E725" s="2" t="str">
        <f t="shared" si="20"/>
        <v>女</v>
      </c>
    </row>
    <row r="726" spans="1:5" s="1" customFormat="1" ht="34.5" customHeight="1">
      <c r="A726" s="2">
        <v>724</v>
      </c>
      <c r="B726" s="2" t="str">
        <f>"35932021120822311266072"</f>
        <v>35932021120822311266072</v>
      </c>
      <c r="C726" s="2" t="s">
        <v>9</v>
      </c>
      <c r="D726" s="2" t="str">
        <f>"高志群"</f>
        <v>高志群</v>
      </c>
      <c r="E726" s="2" t="str">
        <f t="shared" si="20"/>
        <v>女</v>
      </c>
    </row>
    <row r="727" spans="1:5" s="1" customFormat="1" ht="34.5" customHeight="1">
      <c r="A727" s="2">
        <v>725</v>
      </c>
      <c r="B727" s="2" t="str">
        <f>"35932021120823110766085"</f>
        <v>35932021120823110766085</v>
      </c>
      <c r="C727" s="2" t="s">
        <v>9</v>
      </c>
      <c r="D727" s="2" t="str">
        <f>"林传琨"</f>
        <v>林传琨</v>
      </c>
      <c r="E727" s="2" t="str">
        <f>"男"</f>
        <v>男</v>
      </c>
    </row>
    <row r="728" spans="1:5" s="1" customFormat="1" ht="34.5" customHeight="1">
      <c r="A728" s="2">
        <v>726</v>
      </c>
      <c r="B728" s="2" t="str">
        <f>"35932021120823114666086"</f>
        <v>35932021120823114666086</v>
      </c>
      <c r="C728" s="2" t="s">
        <v>9</v>
      </c>
      <c r="D728" s="2" t="str">
        <f>"陈怡"</f>
        <v>陈怡</v>
      </c>
      <c r="E728" s="2" t="str">
        <f>"女"</f>
        <v>女</v>
      </c>
    </row>
    <row r="729" spans="1:5" s="1" customFormat="1" ht="34.5" customHeight="1">
      <c r="A729" s="2">
        <v>727</v>
      </c>
      <c r="B729" s="2" t="str">
        <f>"35932021120823214166090"</f>
        <v>35932021120823214166090</v>
      </c>
      <c r="C729" s="2" t="s">
        <v>9</v>
      </c>
      <c r="D729" s="2" t="str">
        <f>"文俊蓉"</f>
        <v>文俊蓉</v>
      </c>
      <c r="E729" s="2" t="str">
        <f>"女"</f>
        <v>女</v>
      </c>
    </row>
    <row r="730" spans="1:5" s="1" customFormat="1" ht="34.5" customHeight="1">
      <c r="A730" s="2">
        <v>728</v>
      </c>
      <c r="B730" s="2" t="str">
        <f>"35932021120908435166118"</f>
        <v>35932021120908435166118</v>
      </c>
      <c r="C730" s="2" t="s">
        <v>9</v>
      </c>
      <c r="D730" s="2" t="str">
        <f>"羊盛锦"</f>
        <v>羊盛锦</v>
      </c>
      <c r="E730" s="2" t="str">
        <f>"男"</f>
        <v>男</v>
      </c>
    </row>
    <row r="731" spans="1:5" s="1" customFormat="1" ht="34.5" customHeight="1">
      <c r="A731" s="2">
        <v>729</v>
      </c>
      <c r="B731" s="2" t="str">
        <f>"35932021120908553866126"</f>
        <v>35932021120908553866126</v>
      </c>
      <c r="C731" s="2" t="s">
        <v>9</v>
      </c>
      <c r="D731" s="2" t="str">
        <f>"张彩瑶"</f>
        <v>张彩瑶</v>
      </c>
      <c r="E731" s="2" t="str">
        <f>"女"</f>
        <v>女</v>
      </c>
    </row>
    <row r="732" spans="1:5" s="1" customFormat="1" ht="34.5" customHeight="1">
      <c r="A732" s="2">
        <v>730</v>
      </c>
      <c r="B732" s="2" t="str">
        <f>"35932021120908593466127"</f>
        <v>35932021120908593466127</v>
      </c>
      <c r="C732" s="2" t="s">
        <v>9</v>
      </c>
      <c r="D732" s="2" t="str">
        <f>"邵珠珍"</f>
        <v>邵珠珍</v>
      </c>
      <c r="E732" s="2" t="str">
        <f>"女"</f>
        <v>女</v>
      </c>
    </row>
    <row r="733" spans="1:5" s="1" customFormat="1" ht="34.5" customHeight="1">
      <c r="A733" s="2">
        <v>731</v>
      </c>
      <c r="B733" s="2" t="str">
        <f>"35932021120909035266130"</f>
        <v>35932021120909035266130</v>
      </c>
      <c r="C733" s="2" t="s">
        <v>9</v>
      </c>
      <c r="D733" s="2" t="str">
        <f>"汤盛"</f>
        <v>汤盛</v>
      </c>
      <c r="E733" s="2" t="str">
        <f>"男"</f>
        <v>男</v>
      </c>
    </row>
    <row r="734" spans="1:5" s="1" customFormat="1" ht="34.5" customHeight="1">
      <c r="A734" s="2">
        <v>732</v>
      </c>
      <c r="B734" s="2" t="str">
        <f>"35932021120909080166135"</f>
        <v>35932021120909080166135</v>
      </c>
      <c r="C734" s="2" t="s">
        <v>9</v>
      </c>
      <c r="D734" s="2" t="str">
        <f>"郑丕华"</f>
        <v>郑丕华</v>
      </c>
      <c r="E734" s="2" t="str">
        <f aca="true" t="shared" si="21" ref="E734:E740">"女"</f>
        <v>女</v>
      </c>
    </row>
    <row r="735" spans="1:5" s="1" customFormat="1" ht="34.5" customHeight="1">
      <c r="A735" s="2">
        <v>733</v>
      </c>
      <c r="B735" s="2" t="str">
        <f>"35932021120909155466141"</f>
        <v>35932021120909155466141</v>
      </c>
      <c r="C735" s="2" t="s">
        <v>9</v>
      </c>
      <c r="D735" s="2" t="str">
        <f>"杜林青"</f>
        <v>杜林青</v>
      </c>
      <c r="E735" s="2" t="str">
        <f t="shared" si="21"/>
        <v>女</v>
      </c>
    </row>
    <row r="736" spans="1:5" s="1" customFormat="1" ht="34.5" customHeight="1">
      <c r="A736" s="2">
        <v>734</v>
      </c>
      <c r="B736" s="2" t="str">
        <f>"35932021120909164766144"</f>
        <v>35932021120909164766144</v>
      </c>
      <c r="C736" s="2" t="s">
        <v>9</v>
      </c>
      <c r="D736" s="2" t="str">
        <f>"蒲彦宇"</f>
        <v>蒲彦宇</v>
      </c>
      <c r="E736" s="2" t="str">
        <f t="shared" si="21"/>
        <v>女</v>
      </c>
    </row>
    <row r="737" spans="1:5" s="1" customFormat="1" ht="34.5" customHeight="1">
      <c r="A737" s="2">
        <v>735</v>
      </c>
      <c r="B737" s="2" t="str">
        <f>"35932021120910121066179"</f>
        <v>35932021120910121066179</v>
      </c>
      <c r="C737" s="2" t="s">
        <v>9</v>
      </c>
      <c r="D737" s="2" t="str">
        <f>"吴佩婷"</f>
        <v>吴佩婷</v>
      </c>
      <c r="E737" s="2" t="str">
        <f t="shared" si="21"/>
        <v>女</v>
      </c>
    </row>
    <row r="738" spans="1:5" s="1" customFormat="1" ht="34.5" customHeight="1">
      <c r="A738" s="2">
        <v>736</v>
      </c>
      <c r="B738" s="2" t="str">
        <f>"35932021120910140666181"</f>
        <v>35932021120910140666181</v>
      </c>
      <c r="C738" s="2" t="s">
        <v>9</v>
      </c>
      <c r="D738" s="2" t="str">
        <f>"梁诗悦"</f>
        <v>梁诗悦</v>
      </c>
      <c r="E738" s="2" t="str">
        <f t="shared" si="21"/>
        <v>女</v>
      </c>
    </row>
    <row r="739" spans="1:5" s="1" customFormat="1" ht="34.5" customHeight="1">
      <c r="A739" s="2">
        <v>737</v>
      </c>
      <c r="B739" s="2" t="str">
        <f>"35932021120910141866182"</f>
        <v>35932021120910141866182</v>
      </c>
      <c r="C739" s="2" t="s">
        <v>9</v>
      </c>
      <c r="D739" s="2" t="str">
        <f>"韩雅丽"</f>
        <v>韩雅丽</v>
      </c>
      <c r="E739" s="2" t="str">
        <f t="shared" si="21"/>
        <v>女</v>
      </c>
    </row>
    <row r="740" spans="1:5" s="1" customFormat="1" ht="34.5" customHeight="1">
      <c r="A740" s="2">
        <v>738</v>
      </c>
      <c r="B740" s="2" t="str">
        <f>"35932021120910442766198"</f>
        <v>35932021120910442766198</v>
      </c>
      <c r="C740" s="2" t="s">
        <v>9</v>
      </c>
      <c r="D740" s="2" t="str">
        <f>"周静"</f>
        <v>周静</v>
      </c>
      <c r="E740" s="2" t="str">
        <f t="shared" si="21"/>
        <v>女</v>
      </c>
    </row>
    <row r="741" spans="1:5" s="1" customFormat="1" ht="34.5" customHeight="1">
      <c r="A741" s="2">
        <v>739</v>
      </c>
      <c r="B741" s="2" t="str">
        <f>"35932021120910555666204"</f>
        <v>35932021120910555666204</v>
      </c>
      <c r="C741" s="2" t="s">
        <v>9</v>
      </c>
      <c r="D741" s="2" t="str">
        <f>"张峻"</f>
        <v>张峻</v>
      </c>
      <c r="E741" s="2" t="str">
        <f>"男"</f>
        <v>男</v>
      </c>
    </row>
    <row r="742" spans="1:5" s="1" customFormat="1" ht="34.5" customHeight="1">
      <c r="A742" s="2">
        <v>740</v>
      </c>
      <c r="B742" s="2" t="str">
        <f>"35932021120911040266209"</f>
        <v>35932021120911040266209</v>
      </c>
      <c r="C742" s="2" t="s">
        <v>9</v>
      </c>
      <c r="D742" s="2" t="str">
        <f>"张少艳"</f>
        <v>张少艳</v>
      </c>
      <c r="E742" s="2" t="str">
        <f aca="true" t="shared" si="22" ref="E742:E756">"女"</f>
        <v>女</v>
      </c>
    </row>
    <row r="743" spans="1:5" s="1" customFormat="1" ht="34.5" customHeight="1">
      <c r="A743" s="2">
        <v>741</v>
      </c>
      <c r="B743" s="2" t="str">
        <f>"35932021120911154066217"</f>
        <v>35932021120911154066217</v>
      </c>
      <c r="C743" s="2" t="s">
        <v>9</v>
      </c>
      <c r="D743" s="2" t="str">
        <f>"冯莹"</f>
        <v>冯莹</v>
      </c>
      <c r="E743" s="2" t="str">
        <f t="shared" si="22"/>
        <v>女</v>
      </c>
    </row>
    <row r="744" spans="1:5" s="1" customFormat="1" ht="34.5" customHeight="1">
      <c r="A744" s="2">
        <v>742</v>
      </c>
      <c r="B744" s="2" t="str">
        <f>"35932021120911345566225"</f>
        <v>35932021120911345566225</v>
      </c>
      <c r="C744" s="2" t="s">
        <v>9</v>
      </c>
      <c r="D744" s="2" t="str">
        <f>"李瑾瑾"</f>
        <v>李瑾瑾</v>
      </c>
      <c r="E744" s="2" t="str">
        <f t="shared" si="22"/>
        <v>女</v>
      </c>
    </row>
    <row r="745" spans="1:5" s="1" customFormat="1" ht="34.5" customHeight="1">
      <c r="A745" s="2">
        <v>743</v>
      </c>
      <c r="B745" s="2" t="str">
        <f>"35932021120911452666233"</f>
        <v>35932021120911452666233</v>
      </c>
      <c r="C745" s="2" t="s">
        <v>9</v>
      </c>
      <c r="D745" s="2" t="str">
        <f>"殷丽桑"</f>
        <v>殷丽桑</v>
      </c>
      <c r="E745" s="2" t="str">
        <f t="shared" si="22"/>
        <v>女</v>
      </c>
    </row>
    <row r="746" spans="1:5" s="1" customFormat="1" ht="34.5" customHeight="1">
      <c r="A746" s="2">
        <v>744</v>
      </c>
      <c r="B746" s="2" t="str">
        <f>"35932021120911573466236"</f>
        <v>35932021120911573466236</v>
      </c>
      <c r="C746" s="2" t="s">
        <v>9</v>
      </c>
      <c r="D746" s="2" t="str">
        <f>"梁艺"</f>
        <v>梁艺</v>
      </c>
      <c r="E746" s="2" t="str">
        <f t="shared" si="22"/>
        <v>女</v>
      </c>
    </row>
    <row r="747" spans="1:5" s="1" customFormat="1" ht="34.5" customHeight="1">
      <c r="A747" s="2">
        <v>745</v>
      </c>
      <c r="B747" s="2" t="str">
        <f>"35932021120912330666248"</f>
        <v>35932021120912330666248</v>
      </c>
      <c r="C747" s="2" t="s">
        <v>9</v>
      </c>
      <c r="D747" s="2" t="str">
        <f>"杨雪"</f>
        <v>杨雪</v>
      </c>
      <c r="E747" s="2" t="str">
        <f t="shared" si="22"/>
        <v>女</v>
      </c>
    </row>
    <row r="748" spans="1:5" s="1" customFormat="1" ht="34.5" customHeight="1">
      <c r="A748" s="2">
        <v>746</v>
      </c>
      <c r="B748" s="2" t="str">
        <f>"35932021120913074166261"</f>
        <v>35932021120913074166261</v>
      </c>
      <c r="C748" s="2" t="s">
        <v>9</v>
      </c>
      <c r="D748" s="2" t="str">
        <f>"朱巧妙"</f>
        <v>朱巧妙</v>
      </c>
      <c r="E748" s="2" t="str">
        <f t="shared" si="22"/>
        <v>女</v>
      </c>
    </row>
    <row r="749" spans="1:5" s="1" customFormat="1" ht="34.5" customHeight="1">
      <c r="A749" s="2">
        <v>747</v>
      </c>
      <c r="B749" s="2" t="str">
        <f>"35932021120913153966268"</f>
        <v>35932021120913153966268</v>
      </c>
      <c r="C749" s="2" t="s">
        <v>9</v>
      </c>
      <c r="D749" s="2" t="str">
        <f>"王丽菊"</f>
        <v>王丽菊</v>
      </c>
      <c r="E749" s="2" t="str">
        <f t="shared" si="22"/>
        <v>女</v>
      </c>
    </row>
    <row r="750" spans="1:5" s="1" customFormat="1" ht="34.5" customHeight="1">
      <c r="A750" s="2">
        <v>748</v>
      </c>
      <c r="B750" s="2" t="str">
        <f>"35932021120914174166281"</f>
        <v>35932021120914174166281</v>
      </c>
      <c r="C750" s="2" t="s">
        <v>9</v>
      </c>
      <c r="D750" s="2" t="str">
        <f>"禤舒茵"</f>
        <v>禤舒茵</v>
      </c>
      <c r="E750" s="2" t="str">
        <f t="shared" si="22"/>
        <v>女</v>
      </c>
    </row>
    <row r="751" spans="1:5" s="1" customFormat="1" ht="34.5" customHeight="1">
      <c r="A751" s="2">
        <v>749</v>
      </c>
      <c r="B751" s="2" t="str">
        <f>"35932021120914175266282"</f>
        <v>35932021120914175266282</v>
      </c>
      <c r="C751" s="2" t="s">
        <v>9</v>
      </c>
      <c r="D751" s="2" t="str">
        <f>"朱德雅"</f>
        <v>朱德雅</v>
      </c>
      <c r="E751" s="2" t="str">
        <f t="shared" si="22"/>
        <v>女</v>
      </c>
    </row>
    <row r="752" spans="1:5" s="1" customFormat="1" ht="34.5" customHeight="1">
      <c r="A752" s="2">
        <v>750</v>
      </c>
      <c r="B752" s="2" t="str">
        <f>"35932021120914425166293"</f>
        <v>35932021120914425166293</v>
      </c>
      <c r="C752" s="2" t="s">
        <v>9</v>
      </c>
      <c r="D752" s="2" t="str">
        <f>"程梦兰"</f>
        <v>程梦兰</v>
      </c>
      <c r="E752" s="2" t="str">
        <f t="shared" si="22"/>
        <v>女</v>
      </c>
    </row>
    <row r="753" spans="1:5" s="1" customFormat="1" ht="34.5" customHeight="1">
      <c r="A753" s="2">
        <v>751</v>
      </c>
      <c r="B753" s="2" t="str">
        <f>"35932021120914590866298"</f>
        <v>35932021120914590866298</v>
      </c>
      <c r="C753" s="2" t="s">
        <v>9</v>
      </c>
      <c r="D753" s="2" t="str">
        <f>"郑惠"</f>
        <v>郑惠</v>
      </c>
      <c r="E753" s="2" t="str">
        <f t="shared" si="22"/>
        <v>女</v>
      </c>
    </row>
    <row r="754" spans="1:5" s="1" customFormat="1" ht="34.5" customHeight="1">
      <c r="A754" s="2">
        <v>752</v>
      </c>
      <c r="B754" s="2" t="str">
        <f>"35932021120915252666315"</f>
        <v>35932021120915252666315</v>
      </c>
      <c r="C754" s="2" t="s">
        <v>9</v>
      </c>
      <c r="D754" s="2" t="str">
        <f>"韩文婷"</f>
        <v>韩文婷</v>
      </c>
      <c r="E754" s="2" t="str">
        <f t="shared" si="22"/>
        <v>女</v>
      </c>
    </row>
    <row r="755" spans="1:5" s="1" customFormat="1" ht="34.5" customHeight="1">
      <c r="A755" s="2">
        <v>753</v>
      </c>
      <c r="B755" s="2" t="str">
        <f>"35932021120915340366321"</f>
        <v>35932021120915340366321</v>
      </c>
      <c r="C755" s="2" t="s">
        <v>9</v>
      </c>
      <c r="D755" s="2" t="str">
        <f>"冯甜甜"</f>
        <v>冯甜甜</v>
      </c>
      <c r="E755" s="2" t="str">
        <f t="shared" si="22"/>
        <v>女</v>
      </c>
    </row>
    <row r="756" spans="1:5" s="1" customFormat="1" ht="34.5" customHeight="1">
      <c r="A756" s="2">
        <v>754</v>
      </c>
      <c r="B756" s="2" t="str">
        <f>"35932021120916034266336"</f>
        <v>35932021120916034266336</v>
      </c>
      <c r="C756" s="2" t="s">
        <v>9</v>
      </c>
      <c r="D756" s="2" t="str">
        <f>"林承婷"</f>
        <v>林承婷</v>
      </c>
      <c r="E756" s="2" t="str">
        <f t="shared" si="22"/>
        <v>女</v>
      </c>
    </row>
    <row r="757" spans="1:5" s="1" customFormat="1" ht="34.5" customHeight="1">
      <c r="A757" s="2">
        <v>755</v>
      </c>
      <c r="B757" s="2" t="str">
        <f>"35932021120916242566351"</f>
        <v>35932021120916242566351</v>
      </c>
      <c r="C757" s="2" t="s">
        <v>9</v>
      </c>
      <c r="D757" s="2" t="str">
        <f>"陈长斌"</f>
        <v>陈长斌</v>
      </c>
      <c r="E757" s="2" t="str">
        <f>"男"</f>
        <v>男</v>
      </c>
    </row>
    <row r="758" spans="1:5" s="1" customFormat="1" ht="34.5" customHeight="1">
      <c r="A758" s="2">
        <v>756</v>
      </c>
      <c r="B758" s="2" t="str">
        <f>"35932021120916310766357"</f>
        <v>35932021120916310766357</v>
      </c>
      <c r="C758" s="2" t="s">
        <v>9</v>
      </c>
      <c r="D758" s="2" t="str">
        <f>"蓝畅"</f>
        <v>蓝畅</v>
      </c>
      <c r="E758" s="2" t="str">
        <f>"女"</f>
        <v>女</v>
      </c>
    </row>
    <row r="759" spans="1:5" s="1" customFormat="1" ht="34.5" customHeight="1">
      <c r="A759" s="2">
        <v>757</v>
      </c>
      <c r="B759" s="2" t="str">
        <f>"35932021120917394866388"</f>
        <v>35932021120917394866388</v>
      </c>
      <c r="C759" s="2" t="s">
        <v>9</v>
      </c>
      <c r="D759" s="2" t="str">
        <f>"邢丽娜"</f>
        <v>邢丽娜</v>
      </c>
      <c r="E759" s="2" t="str">
        <f>"女"</f>
        <v>女</v>
      </c>
    </row>
    <row r="760" spans="1:5" s="1" customFormat="1" ht="34.5" customHeight="1">
      <c r="A760" s="2">
        <v>758</v>
      </c>
      <c r="B760" s="2" t="str">
        <f>"35932021120918130266399"</f>
        <v>35932021120918130266399</v>
      </c>
      <c r="C760" s="2" t="s">
        <v>9</v>
      </c>
      <c r="D760" s="2" t="str">
        <f>"罗燕春"</f>
        <v>罗燕春</v>
      </c>
      <c r="E760" s="2" t="str">
        <f>"女"</f>
        <v>女</v>
      </c>
    </row>
    <row r="761" spans="1:5" s="1" customFormat="1" ht="34.5" customHeight="1">
      <c r="A761" s="2">
        <v>759</v>
      </c>
      <c r="B761" s="2" t="str">
        <f>"35932021120919030766409"</f>
        <v>35932021120919030766409</v>
      </c>
      <c r="C761" s="2" t="s">
        <v>9</v>
      </c>
      <c r="D761" s="2" t="str">
        <f>"司徒慧敏"</f>
        <v>司徒慧敏</v>
      </c>
      <c r="E761" s="2" t="str">
        <f>"女"</f>
        <v>女</v>
      </c>
    </row>
    <row r="762" spans="1:5" s="1" customFormat="1" ht="34.5" customHeight="1">
      <c r="A762" s="2">
        <v>760</v>
      </c>
      <c r="B762" s="2" t="str">
        <f>"35932021120920284066434"</f>
        <v>35932021120920284066434</v>
      </c>
      <c r="C762" s="2" t="s">
        <v>9</v>
      </c>
      <c r="D762" s="2" t="str">
        <f>"吴少玲"</f>
        <v>吴少玲</v>
      </c>
      <c r="E762" s="2" t="str">
        <f>"女"</f>
        <v>女</v>
      </c>
    </row>
    <row r="763" spans="1:5" s="1" customFormat="1" ht="34.5" customHeight="1">
      <c r="A763" s="2">
        <v>761</v>
      </c>
      <c r="B763" s="2" t="str">
        <f>"35932021120921255366454"</f>
        <v>35932021120921255366454</v>
      </c>
      <c r="C763" s="2" t="s">
        <v>9</v>
      </c>
      <c r="D763" s="2" t="str">
        <f>"梁浩"</f>
        <v>梁浩</v>
      </c>
      <c r="E763" s="2" t="str">
        <f>"男"</f>
        <v>男</v>
      </c>
    </row>
    <row r="764" spans="1:5" s="1" customFormat="1" ht="34.5" customHeight="1">
      <c r="A764" s="2">
        <v>762</v>
      </c>
      <c r="B764" s="2" t="str">
        <f>"35932021120922452866475"</f>
        <v>35932021120922452866475</v>
      </c>
      <c r="C764" s="2" t="s">
        <v>9</v>
      </c>
      <c r="D764" s="2" t="str">
        <f>"吴婷婷"</f>
        <v>吴婷婷</v>
      </c>
      <c r="E764" s="2" t="str">
        <f aca="true" t="shared" si="23" ref="E764:E776">"女"</f>
        <v>女</v>
      </c>
    </row>
    <row r="765" spans="1:5" s="1" customFormat="1" ht="34.5" customHeight="1">
      <c r="A765" s="2">
        <v>763</v>
      </c>
      <c r="B765" s="2" t="str">
        <f>"35932021120923123066478"</f>
        <v>35932021120923123066478</v>
      </c>
      <c r="C765" s="2" t="s">
        <v>9</v>
      </c>
      <c r="D765" s="2" t="str">
        <f>"文倩"</f>
        <v>文倩</v>
      </c>
      <c r="E765" s="2" t="str">
        <f t="shared" si="23"/>
        <v>女</v>
      </c>
    </row>
    <row r="766" spans="1:5" s="1" customFormat="1" ht="34.5" customHeight="1">
      <c r="A766" s="2">
        <v>764</v>
      </c>
      <c r="B766" s="2" t="str">
        <f>"35932021120923222166481"</f>
        <v>35932021120923222166481</v>
      </c>
      <c r="C766" s="2" t="s">
        <v>9</v>
      </c>
      <c r="D766" s="2" t="str">
        <f>"薛伟婷"</f>
        <v>薛伟婷</v>
      </c>
      <c r="E766" s="2" t="str">
        <f t="shared" si="23"/>
        <v>女</v>
      </c>
    </row>
    <row r="767" spans="1:5" s="1" customFormat="1" ht="34.5" customHeight="1">
      <c r="A767" s="2">
        <v>765</v>
      </c>
      <c r="B767" s="2" t="str">
        <f>"35932021120923252566482"</f>
        <v>35932021120923252566482</v>
      </c>
      <c r="C767" s="2" t="s">
        <v>9</v>
      </c>
      <c r="D767" s="2" t="str">
        <f>"邓荣"</f>
        <v>邓荣</v>
      </c>
      <c r="E767" s="2" t="str">
        <f t="shared" si="23"/>
        <v>女</v>
      </c>
    </row>
    <row r="768" spans="1:5" s="1" customFormat="1" ht="34.5" customHeight="1">
      <c r="A768" s="2">
        <v>766</v>
      </c>
      <c r="B768" s="2" t="str">
        <f>"35932021120923374066485"</f>
        <v>35932021120923374066485</v>
      </c>
      <c r="C768" s="2" t="s">
        <v>9</v>
      </c>
      <c r="D768" s="2" t="str">
        <f>"陈小慧"</f>
        <v>陈小慧</v>
      </c>
      <c r="E768" s="2" t="str">
        <f t="shared" si="23"/>
        <v>女</v>
      </c>
    </row>
    <row r="769" spans="1:5" s="1" customFormat="1" ht="34.5" customHeight="1">
      <c r="A769" s="2">
        <v>767</v>
      </c>
      <c r="B769" s="2" t="str">
        <f>"35932021120923404566487"</f>
        <v>35932021120923404566487</v>
      </c>
      <c r="C769" s="2" t="s">
        <v>9</v>
      </c>
      <c r="D769" s="2" t="str">
        <f>"吴瑛琪"</f>
        <v>吴瑛琪</v>
      </c>
      <c r="E769" s="2" t="str">
        <f t="shared" si="23"/>
        <v>女</v>
      </c>
    </row>
    <row r="770" spans="1:5" s="1" customFormat="1" ht="34.5" customHeight="1">
      <c r="A770" s="2">
        <v>768</v>
      </c>
      <c r="B770" s="2" t="str">
        <f>"35932021121008131066491"</f>
        <v>35932021121008131066491</v>
      </c>
      <c r="C770" s="2" t="s">
        <v>9</v>
      </c>
      <c r="D770" s="2" t="str">
        <f>"黄玉山"</f>
        <v>黄玉山</v>
      </c>
      <c r="E770" s="2" t="str">
        <f t="shared" si="23"/>
        <v>女</v>
      </c>
    </row>
    <row r="771" spans="1:5" s="1" customFormat="1" ht="34.5" customHeight="1">
      <c r="A771" s="2">
        <v>769</v>
      </c>
      <c r="B771" s="2" t="str">
        <f>"35932021121009484166505"</f>
        <v>35932021121009484166505</v>
      </c>
      <c r="C771" s="2" t="s">
        <v>9</v>
      </c>
      <c r="D771" s="2" t="str">
        <f>"王惠娇"</f>
        <v>王惠娇</v>
      </c>
      <c r="E771" s="2" t="str">
        <f t="shared" si="23"/>
        <v>女</v>
      </c>
    </row>
    <row r="772" spans="1:5" s="1" customFormat="1" ht="34.5" customHeight="1">
      <c r="A772" s="2">
        <v>770</v>
      </c>
      <c r="B772" s="2" t="str">
        <f>"35932021121010131166516"</f>
        <v>35932021121010131166516</v>
      </c>
      <c r="C772" s="2" t="s">
        <v>9</v>
      </c>
      <c r="D772" s="2" t="str">
        <f>"林舒羽"</f>
        <v>林舒羽</v>
      </c>
      <c r="E772" s="2" t="str">
        <f t="shared" si="23"/>
        <v>女</v>
      </c>
    </row>
    <row r="773" spans="1:5" s="1" customFormat="1" ht="34.5" customHeight="1">
      <c r="A773" s="2">
        <v>771</v>
      </c>
      <c r="B773" s="2" t="str">
        <f>"35932021121010210366526"</f>
        <v>35932021121010210366526</v>
      </c>
      <c r="C773" s="2" t="s">
        <v>9</v>
      </c>
      <c r="D773" s="2" t="str">
        <f>"戴丹丹"</f>
        <v>戴丹丹</v>
      </c>
      <c r="E773" s="2" t="str">
        <f t="shared" si="23"/>
        <v>女</v>
      </c>
    </row>
    <row r="774" spans="1:5" s="1" customFormat="1" ht="34.5" customHeight="1">
      <c r="A774" s="2">
        <v>772</v>
      </c>
      <c r="B774" s="2" t="str">
        <f>"35932021121010430666539"</f>
        <v>35932021121010430666539</v>
      </c>
      <c r="C774" s="2" t="s">
        <v>9</v>
      </c>
      <c r="D774" s="2" t="str">
        <f>"裴玉玉"</f>
        <v>裴玉玉</v>
      </c>
      <c r="E774" s="2" t="str">
        <f t="shared" si="23"/>
        <v>女</v>
      </c>
    </row>
    <row r="775" spans="1:5" s="1" customFormat="1" ht="34.5" customHeight="1">
      <c r="A775" s="2">
        <v>773</v>
      </c>
      <c r="B775" s="2" t="str">
        <f>"35932021121010492166542"</f>
        <v>35932021121010492166542</v>
      </c>
      <c r="C775" s="2" t="s">
        <v>9</v>
      </c>
      <c r="D775" s="2" t="str">
        <f>"李妹喜"</f>
        <v>李妹喜</v>
      </c>
      <c r="E775" s="2" t="str">
        <f t="shared" si="23"/>
        <v>女</v>
      </c>
    </row>
    <row r="776" spans="1:5" s="1" customFormat="1" ht="34.5" customHeight="1">
      <c r="A776" s="2">
        <v>774</v>
      </c>
      <c r="B776" s="2" t="str">
        <f>"35932021121010573466548"</f>
        <v>35932021121010573466548</v>
      </c>
      <c r="C776" s="2" t="s">
        <v>9</v>
      </c>
      <c r="D776" s="2" t="str">
        <f>"陈子仪"</f>
        <v>陈子仪</v>
      </c>
      <c r="E776" s="2" t="str">
        <f t="shared" si="23"/>
        <v>女</v>
      </c>
    </row>
    <row r="777" spans="1:5" s="1" customFormat="1" ht="34.5" customHeight="1">
      <c r="A777" s="2">
        <v>775</v>
      </c>
      <c r="B777" s="2" t="str">
        <f>"35932021121011004166552"</f>
        <v>35932021121011004166552</v>
      </c>
      <c r="C777" s="2" t="s">
        <v>9</v>
      </c>
      <c r="D777" s="2" t="str">
        <f>"徐松富"</f>
        <v>徐松富</v>
      </c>
      <c r="E777" s="2" t="str">
        <f>"男"</f>
        <v>男</v>
      </c>
    </row>
    <row r="778" spans="1:5" s="1" customFormat="1" ht="34.5" customHeight="1">
      <c r="A778" s="2">
        <v>776</v>
      </c>
      <c r="B778" s="2" t="str">
        <f>"35932021121011324066568"</f>
        <v>35932021121011324066568</v>
      </c>
      <c r="C778" s="2" t="s">
        <v>9</v>
      </c>
      <c r="D778" s="2" t="str">
        <f>"罗俏"</f>
        <v>罗俏</v>
      </c>
      <c r="E778" s="2" t="str">
        <f>"女"</f>
        <v>女</v>
      </c>
    </row>
    <row r="779" spans="1:5" s="1" customFormat="1" ht="34.5" customHeight="1">
      <c r="A779" s="2">
        <v>777</v>
      </c>
      <c r="B779" s="2" t="str">
        <f>"35932021121012223366581"</f>
        <v>35932021121012223366581</v>
      </c>
      <c r="C779" s="2" t="s">
        <v>9</v>
      </c>
      <c r="D779" s="2" t="str">
        <f>"陈诚郁"</f>
        <v>陈诚郁</v>
      </c>
      <c r="E779" s="2" t="str">
        <f>"女"</f>
        <v>女</v>
      </c>
    </row>
    <row r="780" spans="1:5" s="1" customFormat="1" ht="34.5" customHeight="1">
      <c r="A780" s="2">
        <v>778</v>
      </c>
      <c r="B780" s="2" t="str">
        <f>"35932021121012424966587"</f>
        <v>35932021121012424966587</v>
      </c>
      <c r="C780" s="2" t="s">
        <v>9</v>
      </c>
      <c r="D780" s="2" t="str">
        <f>"陈玉成"</f>
        <v>陈玉成</v>
      </c>
      <c r="E780" s="2" t="str">
        <f>"女"</f>
        <v>女</v>
      </c>
    </row>
    <row r="781" spans="1:5" s="1" customFormat="1" ht="34.5" customHeight="1">
      <c r="A781" s="2">
        <v>779</v>
      </c>
      <c r="B781" s="2" t="str">
        <f>"35932021121012585666590"</f>
        <v>35932021121012585666590</v>
      </c>
      <c r="C781" s="2" t="s">
        <v>9</v>
      </c>
      <c r="D781" s="2" t="str">
        <f>"邢坤"</f>
        <v>邢坤</v>
      </c>
      <c r="E781" s="2" t="str">
        <f>"男"</f>
        <v>男</v>
      </c>
    </row>
    <row r="782" spans="1:5" s="1" customFormat="1" ht="34.5" customHeight="1">
      <c r="A782" s="2">
        <v>780</v>
      </c>
      <c r="B782" s="2" t="str">
        <f>"35932021121012594066591"</f>
        <v>35932021121012594066591</v>
      </c>
      <c r="C782" s="2" t="s">
        <v>9</v>
      </c>
      <c r="D782" s="2" t="str">
        <f>"董利俊"</f>
        <v>董利俊</v>
      </c>
      <c r="E782" s="2" t="str">
        <f>"女"</f>
        <v>女</v>
      </c>
    </row>
    <row r="783" spans="1:5" s="1" customFormat="1" ht="34.5" customHeight="1">
      <c r="A783" s="2">
        <v>781</v>
      </c>
      <c r="B783" s="2" t="str">
        <f>"35932021121013322766597"</f>
        <v>35932021121013322766597</v>
      </c>
      <c r="C783" s="2" t="s">
        <v>9</v>
      </c>
      <c r="D783" s="2" t="str">
        <f>"焦越"</f>
        <v>焦越</v>
      </c>
      <c r="E783" s="2" t="str">
        <f>"女"</f>
        <v>女</v>
      </c>
    </row>
    <row r="784" spans="1:5" s="1" customFormat="1" ht="34.5" customHeight="1">
      <c r="A784" s="2">
        <v>782</v>
      </c>
      <c r="B784" s="2" t="str">
        <f>"35932021121013540966600"</f>
        <v>35932021121013540966600</v>
      </c>
      <c r="C784" s="2" t="s">
        <v>9</v>
      </c>
      <c r="D784" s="2" t="str">
        <f>"张兆鼎"</f>
        <v>张兆鼎</v>
      </c>
      <c r="E784" s="2" t="str">
        <f>"男"</f>
        <v>男</v>
      </c>
    </row>
    <row r="785" spans="1:5" s="1" customFormat="1" ht="34.5" customHeight="1">
      <c r="A785" s="2">
        <v>783</v>
      </c>
      <c r="B785" s="2" t="str">
        <f>"35932021121014042366601"</f>
        <v>35932021121014042366601</v>
      </c>
      <c r="C785" s="2" t="s">
        <v>9</v>
      </c>
      <c r="D785" s="2" t="str">
        <f>"邓少明"</f>
        <v>邓少明</v>
      </c>
      <c r="E785" s="2" t="str">
        <f>"男"</f>
        <v>男</v>
      </c>
    </row>
    <row r="786" spans="1:5" s="1" customFormat="1" ht="34.5" customHeight="1">
      <c r="A786" s="2">
        <v>784</v>
      </c>
      <c r="B786" s="2" t="str">
        <f>"35932021121014070966604"</f>
        <v>35932021121014070966604</v>
      </c>
      <c r="C786" s="2" t="s">
        <v>9</v>
      </c>
      <c r="D786" s="2" t="str">
        <f>"蔡琼慧"</f>
        <v>蔡琼慧</v>
      </c>
      <c r="E786" s="2" t="str">
        <f>"女"</f>
        <v>女</v>
      </c>
    </row>
    <row r="787" spans="1:5" s="1" customFormat="1" ht="34.5" customHeight="1">
      <c r="A787" s="2">
        <v>785</v>
      </c>
      <c r="B787" s="2" t="str">
        <f>"35932021121014072666605"</f>
        <v>35932021121014072666605</v>
      </c>
      <c r="C787" s="2" t="s">
        <v>9</v>
      </c>
      <c r="D787" s="2" t="str">
        <f>"孙蒙"</f>
        <v>孙蒙</v>
      </c>
      <c r="E787" s="2" t="str">
        <f>"女"</f>
        <v>女</v>
      </c>
    </row>
    <row r="788" spans="1:5" s="1" customFormat="1" ht="34.5" customHeight="1">
      <c r="A788" s="2">
        <v>786</v>
      </c>
      <c r="B788" s="2" t="str">
        <f>"35932021121015082466620"</f>
        <v>35932021121015082466620</v>
      </c>
      <c r="C788" s="2" t="s">
        <v>9</v>
      </c>
      <c r="D788" s="2" t="str">
        <f>"汤青选"</f>
        <v>汤青选</v>
      </c>
      <c r="E788" s="2" t="str">
        <f>"女"</f>
        <v>女</v>
      </c>
    </row>
    <row r="789" spans="1:5" s="1" customFormat="1" ht="34.5" customHeight="1">
      <c r="A789" s="2">
        <v>787</v>
      </c>
      <c r="B789" s="2" t="str">
        <f>"35932021121015161966622"</f>
        <v>35932021121015161966622</v>
      </c>
      <c r="C789" s="2" t="s">
        <v>9</v>
      </c>
      <c r="D789" s="2" t="str">
        <f>"谢林蓉"</f>
        <v>谢林蓉</v>
      </c>
      <c r="E789" s="2" t="str">
        <f>"女"</f>
        <v>女</v>
      </c>
    </row>
    <row r="790" spans="1:5" s="1" customFormat="1" ht="34.5" customHeight="1">
      <c r="A790" s="2">
        <v>788</v>
      </c>
      <c r="B790" s="2" t="str">
        <f>"35932021121016024566637"</f>
        <v>35932021121016024566637</v>
      </c>
      <c r="C790" s="2" t="s">
        <v>9</v>
      </c>
      <c r="D790" s="2" t="str">
        <f>"钟秋雁"</f>
        <v>钟秋雁</v>
      </c>
      <c r="E790" s="2" t="str">
        <f>"女"</f>
        <v>女</v>
      </c>
    </row>
    <row r="791" spans="1:5" s="1" customFormat="1" ht="34.5" customHeight="1">
      <c r="A791" s="2">
        <v>789</v>
      </c>
      <c r="B791" s="2" t="str">
        <f>"35932021121016121866639"</f>
        <v>35932021121016121866639</v>
      </c>
      <c r="C791" s="2" t="s">
        <v>9</v>
      </c>
      <c r="D791" s="2" t="str">
        <f>"柯俊婕"</f>
        <v>柯俊婕</v>
      </c>
      <c r="E791" s="2" t="str">
        <f>"女"</f>
        <v>女</v>
      </c>
    </row>
    <row r="792" spans="1:5" s="1" customFormat="1" ht="34.5" customHeight="1">
      <c r="A792" s="2">
        <v>790</v>
      </c>
      <c r="B792" s="2" t="str">
        <f>"35932021121017091366662"</f>
        <v>35932021121017091366662</v>
      </c>
      <c r="C792" s="2" t="s">
        <v>9</v>
      </c>
      <c r="D792" s="2" t="str">
        <f>"温世岳"</f>
        <v>温世岳</v>
      </c>
      <c r="E792" s="2" t="str">
        <f>"男"</f>
        <v>男</v>
      </c>
    </row>
    <row r="793" spans="1:5" s="1" customFormat="1" ht="34.5" customHeight="1">
      <c r="A793" s="2">
        <v>791</v>
      </c>
      <c r="B793" s="2" t="str">
        <f>"35932021121017201766665"</f>
        <v>35932021121017201766665</v>
      </c>
      <c r="C793" s="2" t="s">
        <v>9</v>
      </c>
      <c r="D793" s="2" t="str">
        <f>"苏应杰"</f>
        <v>苏应杰</v>
      </c>
      <c r="E793" s="2" t="str">
        <f>"男"</f>
        <v>男</v>
      </c>
    </row>
    <row r="794" spans="1:5" s="1" customFormat="1" ht="34.5" customHeight="1">
      <c r="A794" s="2">
        <v>792</v>
      </c>
      <c r="B794" s="2" t="str">
        <f>"35932021121018394066684"</f>
        <v>35932021121018394066684</v>
      </c>
      <c r="C794" s="2" t="s">
        <v>9</v>
      </c>
      <c r="D794" s="2" t="str">
        <f>"王大端"</f>
        <v>王大端</v>
      </c>
      <c r="E794" s="2" t="str">
        <f>"男"</f>
        <v>男</v>
      </c>
    </row>
    <row r="795" spans="1:5" s="1" customFormat="1" ht="34.5" customHeight="1">
      <c r="A795" s="2">
        <v>793</v>
      </c>
      <c r="B795" s="2" t="str">
        <f>"35932021121018591366687"</f>
        <v>35932021121018591366687</v>
      </c>
      <c r="C795" s="2" t="s">
        <v>9</v>
      </c>
      <c r="D795" s="2" t="str">
        <f>"张珀虎"</f>
        <v>张珀虎</v>
      </c>
      <c r="E795" s="2" t="str">
        <f>"男"</f>
        <v>男</v>
      </c>
    </row>
    <row r="796" spans="1:5" s="1" customFormat="1" ht="34.5" customHeight="1">
      <c r="A796" s="2">
        <v>794</v>
      </c>
      <c r="B796" s="2" t="str">
        <f>"35932021121021093766712"</f>
        <v>35932021121021093766712</v>
      </c>
      <c r="C796" s="2" t="s">
        <v>9</v>
      </c>
      <c r="D796" s="2" t="str">
        <f>"华娜"</f>
        <v>华娜</v>
      </c>
      <c r="E796" s="2" t="str">
        <f>"女"</f>
        <v>女</v>
      </c>
    </row>
    <row r="797" spans="1:5" s="1" customFormat="1" ht="34.5" customHeight="1">
      <c r="A797" s="2">
        <v>795</v>
      </c>
      <c r="B797" s="2" t="str">
        <f>"35932021121022222166724"</f>
        <v>35932021121022222166724</v>
      </c>
      <c r="C797" s="2" t="s">
        <v>9</v>
      </c>
      <c r="D797" s="2" t="str">
        <f>"李飞"</f>
        <v>李飞</v>
      </c>
      <c r="E797" s="2" t="str">
        <f>"女"</f>
        <v>女</v>
      </c>
    </row>
    <row r="798" spans="1:5" s="1" customFormat="1" ht="34.5" customHeight="1">
      <c r="A798" s="2">
        <v>796</v>
      </c>
      <c r="B798" s="2" t="str">
        <f>"35932021121022370466726"</f>
        <v>35932021121022370466726</v>
      </c>
      <c r="C798" s="2" t="s">
        <v>9</v>
      </c>
      <c r="D798" s="2" t="str">
        <f>"文丽蔚"</f>
        <v>文丽蔚</v>
      </c>
      <c r="E798" s="2" t="str">
        <f>"女"</f>
        <v>女</v>
      </c>
    </row>
    <row r="799" spans="1:5" s="1" customFormat="1" ht="34.5" customHeight="1">
      <c r="A799" s="2">
        <v>797</v>
      </c>
      <c r="B799" s="2" t="str">
        <f>"35932021121022435166728"</f>
        <v>35932021121022435166728</v>
      </c>
      <c r="C799" s="2" t="s">
        <v>9</v>
      </c>
      <c r="D799" s="2" t="str">
        <f>"符帮泽"</f>
        <v>符帮泽</v>
      </c>
      <c r="E799" s="2" t="str">
        <f>"男"</f>
        <v>男</v>
      </c>
    </row>
    <row r="800" spans="1:5" s="1" customFormat="1" ht="34.5" customHeight="1">
      <c r="A800" s="2">
        <v>798</v>
      </c>
      <c r="B800" s="2" t="str">
        <f>"35932021121108553766740"</f>
        <v>35932021121108553766740</v>
      </c>
      <c r="C800" s="2" t="s">
        <v>9</v>
      </c>
      <c r="D800" s="2" t="str">
        <f>"邢慧慧"</f>
        <v>邢慧慧</v>
      </c>
      <c r="E800" s="2" t="str">
        <f>"女"</f>
        <v>女</v>
      </c>
    </row>
    <row r="801" spans="1:5" s="1" customFormat="1" ht="34.5" customHeight="1">
      <c r="A801" s="2">
        <v>799</v>
      </c>
      <c r="B801" s="2" t="str">
        <f>"35932021121110382566755"</f>
        <v>35932021121110382566755</v>
      </c>
      <c r="C801" s="2" t="s">
        <v>9</v>
      </c>
      <c r="D801" s="2" t="str">
        <f>"冯碧婷"</f>
        <v>冯碧婷</v>
      </c>
      <c r="E801" s="2" t="str">
        <f>"女"</f>
        <v>女</v>
      </c>
    </row>
    <row r="802" spans="1:5" s="1" customFormat="1" ht="34.5" customHeight="1">
      <c r="A802" s="2">
        <v>800</v>
      </c>
      <c r="B802" s="2" t="str">
        <f>"35932021121110570366757"</f>
        <v>35932021121110570366757</v>
      </c>
      <c r="C802" s="2" t="s">
        <v>9</v>
      </c>
      <c r="D802" s="2" t="str">
        <f>"王锐"</f>
        <v>王锐</v>
      </c>
      <c r="E802" s="2" t="str">
        <f>"男"</f>
        <v>男</v>
      </c>
    </row>
    <row r="803" spans="1:5" s="1" customFormat="1" ht="34.5" customHeight="1">
      <c r="A803" s="2">
        <v>801</v>
      </c>
      <c r="B803" s="2" t="str">
        <f>"35932021121112545166775"</f>
        <v>35932021121112545166775</v>
      </c>
      <c r="C803" s="2" t="s">
        <v>9</v>
      </c>
      <c r="D803" s="2" t="str">
        <f>"陈晓林"</f>
        <v>陈晓林</v>
      </c>
      <c r="E803" s="2" t="str">
        <f>"女"</f>
        <v>女</v>
      </c>
    </row>
    <row r="804" spans="1:5" s="1" customFormat="1" ht="34.5" customHeight="1">
      <c r="A804" s="2">
        <v>802</v>
      </c>
      <c r="B804" s="2" t="str">
        <f>"35932021121113401966783"</f>
        <v>35932021121113401966783</v>
      </c>
      <c r="C804" s="2" t="s">
        <v>9</v>
      </c>
      <c r="D804" s="2" t="str">
        <f>"李昌波"</f>
        <v>李昌波</v>
      </c>
      <c r="E804" s="2" t="str">
        <f>"男"</f>
        <v>男</v>
      </c>
    </row>
    <row r="805" spans="1:5" s="1" customFormat="1" ht="34.5" customHeight="1">
      <c r="A805" s="2">
        <v>803</v>
      </c>
      <c r="B805" s="2" t="str">
        <f>"35932021121114221766788"</f>
        <v>35932021121114221766788</v>
      </c>
      <c r="C805" s="2" t="s">
        <v>9</v>
      </c>
      <c r="D805" s="2" t="str">
        <f>"陈汉钊"</f>
        <v>陈汉钊</v>
      </c>
      <c r="E805" s="2" t="str">
        <f>"男"</f>
        <v>男</v>
      </c>
    </row>
    <row r="806" spans="1:5" s="1" customFormat="1" ht="34.5" customHeight="1">
      <c r="A806" s="2">
        <v>804</v>
      </c>
      <c r="B806" s="2" t="str">
        <f>"35932021121114364566790"</f>
        <v>35932021121114364566790</v>
      </c>
      <c r="C806" s="2" t="s">
        <v>9</v>
      </c>
      <c r="D806" s="2" t="str">
        <f>"黄春燕"</f>
        <v>黄春燕</v>
      </c>
      <c r="E806" s="2" t="str">
        <f>"女"</f>
        <v>女</v>
      </c>
    </row>
    <row r="807" spans="1:5" s="1" customFormat="1" ht="34.5" customHeight="1">
      <c r="A807" s="2">
        <v>805</v>
      </c>
      <c r="B807" s="2" t="str">
        <f>"35932021121115142266794"</f>
        <v>35932021121115142266794</v>
      </c>
      <c r="C807" s="2" t="s">
        <v>9</v>
      </c>
      <c r="D807" s="2" t="str">
        <f>"兰敏"</f>
        <v>兰敏</v>
      </c>
      <c r="E807" s="2" t="str">
        <f>"女"</f>
        <v>女</v>
      </c>
    </row>
    <row r="808" spans="1:5" s="1" customFormat="1" ht="34.5" customHeight="1">
      <c r="A808" s="2">
        <v>806</v>
      </c>
      <c r="B808" s="2" t="str">
        <f>"35932021121115380966796"</f>
        <v>35932021121115380966796</v>
      </c>
      <c r="C808" s="2" t="s">
        <v>9</v>
      </c>
      <c r="D808" s="2" t="str">
        <f>"邱玉叶"</f>
        <v>邱玉叶</v>
      </c>
      <c r="E808" s="2" t="str">
        <f>"女"</f>
        <v>女</v>
      </c>
    </row>
    <row r="809" spans="1:5" s="1" customFormat="1" ht="34.5" customHeight="1">
      <c r="A809" s="2">
        <v>807</v>
      </c>
      <c r="B809" s="2" t="str">
        <f>"35932021121118093166826"</f>
        <v>35932021121118093166826</v>
      </c>
      <c r="C809" s="2" t="s">
        <v>9</v>
      </c>
      <c r="D809" s="2" t="str">
        <f>"杨丹群"</f>
        <v>杨丹群</v>
      </c>
      <c r="E809" s="2" t="str">
        <f>"女"</f>
        <v>女</v>
      </c>
    </row>
    <row r="810" spans="1:5" s="1" customFormat="1" ht="34.5" customHeight="1">
      <c r="A810" s="2">
        <v>808</v>
      </c>
      <c r="B810" s="2" t="str">
        <f>"35932021121118175166827"</f>
        <v>35932021121118175166827</v>
      </c>
      <c r="C810" s="2" t="s">
        <v>9</v>
      </c>
      <c r="D810" s="2" t="str">
        <f>"陈礼顺"</f>
        <v>陈礼顺</v>
      </c>
      <c r="E810" s="2" t="str">
        <f>"男"</f>
        <v>男</v>
      </c>
    </row>
    <row r="811" spans="1:5" s="1" customFormat="1" ht="34.5" customHeight="1">
      <c r="A811" s="2">
        <v>809</v>
      </c>
      <c r="B811" s="2" t="str">
        <f>"35932021121119295466838"</f>
        <v>35932021121119295466838</v>
      </c>
      <c r="C811" s="2" t="s">
        <v>9</v>
      </c>
      <c r="D811" s="2" t="str">
        <f>"吴晓月"</f>
        <v>吴晓月</v>
      </c>
      <c r="E811" s="2" t="str">
        <f aca="true" t="shared" si="24" ref="E811:E816">"女"</f>
        <v>女</v>
      </c>
    </row>
    <row r="812" spans="1:5" s="1" customFormat="1" ht="34.5" customHeight="1">
      <c r="A812" s="2">
        <v>810</v>
      </c>
      <c r="B812" s="2" t="str">
        <f>"35932021121120114166844"</f>
        <v>35932021121120114166844</v>
      </c>
      <c r="C812" s="2" t="s">
        <v>9</v>
      </c>
      <c r="D812" s="2" t="str">
        <f>"刘沛珮"</f>
        <v>刘沛珮</v>
      </c>
      <c r="E812" s="2" t="str">
        <f t="shared" si="24"/>
        <v>女</v>
      </c>
    </row>
    <row r="813" spans="1:5" s="1" customFormat="1" ht="34.5" customHeight="1">
      <c r="A813" s="2">
        <v>811</v>
      </c>
      <c r="B813" s="2" t="str">
        <f>"35932021121120155466845"</f>
        <v>35932021121120155466845</v>
      </c>
      <c r="C813" s="2" t="s">
        <v>9</v>
      </c>
      <c r="D813" s="2" t="str">
        <f>"周素兰"</f>
        <v>周素兰</v>
      </c>
      <c r="E813" s="2" t="str">
        <f t="shared" si="24"/>
        <v>女</v>
      </c>
    </row>
    <row r="814" spans="1:5" s="1" customFormat="1" ht="34.5" customHeight="1">
      <c r="A814" s="2">
        <v>812</v>
      </c>
      <c r="B814" s="2" t="str">
        <f>"35932021121120452466846"</f>
        <v>35932021121120452466846</v>
      </c>
      <c r="C814" s="2" t="s">
        <v>9</v>
      </c>
      <c r="D814" s="2" t="str">
        <f>"吴晏秋"</f>
        <v>吴晏秋</v>
      </c>
      <c r="E814" s="2" t="str">
        <f t="shared" si="24"/>
        <v>女</v>
      </c>
    </row>
    <row r="815" spans="1:5" s="1" customFormat="1" ht="34.5" customHeight="1">
      <c r="A815" s="2">
        <v>813</v>
      </c>
      <c r="B815" s="2" t="str">
        <f>"35932021121121355266858"</f>
        <v>35932021121121355266858</v>
      </c>
      <c r="C815" s="2" t="s">
        <v>9</v>
      </c>
      <c r="D815" s="2" t="str">
        <f>"钟圆圆"</f>
        <v>钟圆圆</v>
      </c>
      <c r="E815" s="2" t="str">
        <f t="shared" si="24"/>
        <v>女</v>
      </c>
    </row>
    <row r="816" spans="1:5" s="1" customFormat="1" ht="34.5" customHeight="1">
      <c r="A816" s="2">
        <v>814</v>
      </c>
      <c r="B816" s="2" t="str">
        <f>"35932021121121420666862"</f>
        <v>35932021121121420666862</v>
      </c>
      <c r="C816" s="2" t="s">
        <v>9</v>
      </c>
      <c r="D816" s="2" t="str">
        <f>"凌子楣"</f>
        <v>凌子楣</v>
      </c>
      <c r="E816" s="2" t="str">
        <f t="shared" si="24"/>
        <v>女</v>
      </c>
    </row>
    <row r="817" spans="1:5" s="1" customFormat="1" ht="34.5" customHeight="1">
      <c r="A817" s="2">
        <v>815</v>
      </c>
      <c r="B817" s="2" t="str">
        <f>"35932021121123390166880"</f>
        <v>35932021121123390166880</v>
      </c>
      <c r="C817" s="2" t="s">
        <v>9</v>
      </c>
      <c r="D817" s="2" t="str">
        <f>"童涛"</f>
        <v>童涛</v>
      </c>
      <c r="E817" s="2" t="str">
        <f>"男"</f>
        <v>男</v>
      </c>
    </row>
    <row r="818" spans="1:5" s="1" customFormat="1" ht="34.5" customHeight="1">
      <c r="A818" s="2">
        <v>816</v>
      </c>
      <c r="B818" s="2" t="str">
        <f>"35932021121211142666912"</f>
        <v>35932021121211142666912</v>
      </c>
      <c r="C818" s="2" t="s">
        <v>9</v>
      </c>
      <c r="D818" s="2" t="str">
        <f>"陈小宇"</f>
        <v>陈小宇</v>
      </c>
      <c r="E818" s="2" t="str">
        <f>"女"</f>
        <v>女</v>
      </c>
    </row>
    <row r="819" spans="1:5" s="1" customFormat="1" ht="34.5" customHeight="1">
      <c r="A819" s="2">
        <v>817</v>
      </c>
      <c r="B819" s="2" t="str">
        <f>"35932021121213545366938"</f>
        <v>35932021121213545366938</v>
      </c>
      <c r="C819" s="2" t="s">
        <v>9</v>
      </c>
      <c r="D819" s="2" t="str">
        <f>"林子月"</f>
        <v>林子月</v>
      </c>
      <c r="E819" s="2" t="str">
        <f>"女"</f>
        <v>女</v>
      </c>
    </row>
    <row r="820" spans="1:5" s="1" customFormat="1" ht="34.5" customHeight="1">
      <c r="A820" s="2">
        <v>818</v>
      </c>
      <c r="B820" s="2" t="str">
        <f>"35932021121214405166941"</f>
        <v>35932021121214405166941</v>
      </c>
      <c r="C820" s="2" t="s">
        <v>9</v>
      </c>
      <c r="D820" s="2" t="str">
        <f>"陈屯"</f>
        <v>陈屯</v>
      </c>
      <c r="E820" s="2" t="str">
        <f>"男"</f>
        <v>男</v>
      </c>
    </row>
    <row r="821" spans="1:5" s="1" customFormat="1" ht="34.5" customHeight="1">
      <c r="A821" s="2">
        <v>819</v>
      </c>
      <c r="B821" s="2" t="str">
        <f>"35932021121215291766948"</f>
        <v>35932021121215291766948</v>
      </c>
      <c r="C821" s="2" t="s">
        <v>9</v>
      </c>
      <c r="D821" s="2" t="str">
        <f>"王秋和"</f>
        <v>王秋和</v>
      </c>
      <c r="E821" s="2" t="str">
        <f aca="true" t="shared" si="25" ref="E821:E828">"女"</f>
        <v>女</v>
      </c>
    </row>
    <row r="822" spans="1:5" s="1" customFormat="1" ht="34.5" customHeight="1">
      <c r="A822" s="2">
        <v>820</v>
      </c>
      <c r="B822" s="2" t="str">
        <f>"35932021121215551466956"</f>
        <v>35932021121215551466956</v>
      </c>
      <c r="C822" s="2" t="s">
        <v>9</v>
      </c>
      <c r="D822" s="2" t="str">
        <f>"黄明慧"</f>
        <v>黄明慧</v>
      </c>
      <c r="E822" s="2" t="str">
        <f t="shared" si="25"/>
        <v>女</v>
      </c>
    </row>
    <row r="823" spans="1:5" s="1" customFormat="1" ht="34.5" customHeight="1">
      <c r="A823" s="2">
        <v>821</v>
      </c>
      <c r="B823" s="2" t="str">
        <f>"35932021121216553866971"</f>
        <v>35932021121216553866971</v>
      </c>
      <c r="C823" s="2" t="s">
        <v>9</v>
      </c>
      <c r="D823" s="2" t="str">
        <f>"吴碧丹"</f>
        <v>吴碧丹</v>
      </c>
      <c r="E823" s="2" t="str">
        <f t="shared" si="25"/>
        <v>女</v>
      </c>
    </row>
    <row r="824" spans="1:5" s="1" customFormat="1" ht="34.5" customHeight="1">
      <c r="A824" s="2">
        <v>822</v>
      </c>
      <c r="B824" s="2" t="str">
        <f>"35932021121217020666973"</f>
        <v>35932021121217020666973</v>
      </c>
      <c r="C824" s="2" t="s">
        <v>9</v>
      </c>
      <c r="D824" s="2" t="str">
        <f>"洪海花"</f>
        <v>洪海花</v>
      </c>
      <c r="E824" s="2" t="str">
        <f t="shared" si="25"/>
        <v>女</v>
      </c>
    </row>
    <row r="825" spans="1:5" s="1" customFormat="1" ht="34.5" customHeight="1">
      <c r="A825" s="2">
        <v>823</v>
      </c>
      <c r="B825" s="2" t="str">
        <f>"35932021121217441266985"</f>
        <v>35932021121217441266985</v>
      </c>
      <c r="C825" s="2" t="s">
        <v>9</v>
      </c>
      <c r="D825" s="2" t="str">
        <f>"叶彦君"</f>
        <v>叶彦君</v>
      </c>
      <c r="E825" s="2" t="str">
        <f t="shared" si="25"/>
        <v>女</v>
      </c>
    </row>
    <row r="826" spans="1:5" s="1" customFormat="1" ht="34.5" customHeight="1">
      <c r="A826" s="2">
        <v>824</v>
      </c>
      <c r="B826" s="2" t="str">
        <f>"35932021121218513366995"</f>
        <v>35932021121218513366995</v>
      </c>
      <c r="C826" s="2" t="s">
        <v>9</v>
      </c>
      <c r="D826" s="2" t="str">
        <f>"谢珊珊"</f>
        <v>谢珊珊</v>
      </c>
      <c r="E826" s="2" t="str">
        <f t="shared" si="25"/>
        <v>女</v>
      </c>
    </row>
    <row r="827" spans="1:5" s="1" customFormat="1" ht="34.5" customHeight="1">
      <c r="A827" s="2">
        <v>825</v>
      </c>
      <c r="B827" s="2" t="str">
        <f>"35932021121220310267014"</f>
        <v>35932021121220310267014</v>
      </c>
      <c r="C827" s="2" t="s">
        <v>9</v>
      </c>
      <c r="D827" s="2" t="str">
        <f>"孙浚桢"</f>
        <v>孙浚桢</v>
      </c>
      <c r="E827" s="2" t="str">
        <f t="shared" si="25"/>
        <v>女</v>
      </c>
    </row>
    <row r="828" spans="1:5" s="1" customFormat="1" ht="34.5" customHeight="1">
      <c r="A828" s="2">
        <v>826</v>
      </c>
      <c r="B828" s="2" t="str">
        <f>"35932021121221182767023"</f>
        <v>35932021121221182767023</v>
      </c>
      <c r="C828" s="2" t="s">
        <v>9</v>
      </c>
      <c r="D828" s="2" t="str">
        <f>"康婧"</f>
        <v>康婧</v>
      </c>
      <c r="E828" s="2" t="str">
        <f t="shared" si="25"/>
        <v>女</v>
      </c>
    </row>
    <row r="829" spans="1:5" s="1" customFormat="1" ht="34.5" customHeight="1">
      <c r="A829" s="2">
        <v>827</v>
      </c>
      <c r="B829" s="2" t="str">
        <f>"35932021121221322167025"</f>
        <v>35932021121221322167025</v>
      </c>
      <c r="C829" s="2" t="s">
        <v>9</v>
      </c>
      <c r="D829" s="2" t="str">
        <f>"王永亮"</f>
        <v>王永亮</v>
      </c>
      <c r="E829" s="2" t="str">
        <f>"男"</f>
        <v>男</v>
      </c>
    </row>
    <row r="830" spans="1:5" s="1" customFormat="1" ht="34.5" customHeight="1">
      <c r="A830" s="2">
        <v>828</v>
      </c>
      <c r="B830" s="2" t="str">
        <f>"35932021121221363667027"</f>
        <v>35932021121221363667027</v>
      </c>
      <c r="C830" s="2" t="s">
        <v>9</v>
      </c>
      <c r="D830" s="2" t="str">
        <f>"覃业伟"</f>
        <v>覃业伟</v>
      </c>
      <c r="E830" s="2" t="str">
        <f>"男"</f>
        <v>男</v>
      </c>
    </row>
    <row r="831" spans="1:5" s="1" customFormat="1" ht="34.5" customHeight="1">
      <c r="A831" s="2">
        <v>829</v>
      </c>
      <c r="B831" s="2" t="str">
        <f>"35932021121221561267030"</f>
        <v>35932021121221561267030</v>
      </c>
      <c r="C831" s="2" t="s">
        <v>9</v>
      </c>
      <c r="D831" s="2" t="str">
        <f>"杨帆"</f>
        <v>杨帆</v>
      </c>
      <c r="E831" s="2" t="str">
        <f>"男"</f>
        <v>男</v>
      </c>
    </row>
    <row r="832" spans="1:5" s="1" customFormat="1" ht="34.5" customHeight="1">
      <c r="A832" s="2">
        <v>830</v>
      </c>
      <c r="B832" s="2" t="str">
        <f>"35932021121222465467039"</f>
        <v>35932021121222465467039</v>
      </c>
      <c r="C832" s="2" t="s">
        <v>9</v>
      </c>
      <c r="D832" s="2" t="str">
        <f>"彭芳梅"</f>
        <v>彭芳梅</v>
      </c>
      <c r="E832" s="2" t="str">
        <f>"女"</f>
        <v>女</v>
      </c>
    </row>
    <row r="833" spans="1:5" s="1" customFormat="1" ht="34.5" customHeight="1">
      <c r="A833" s="2">
        <v>831</v>
      </c>
      <c r="B833" s="2" t="str">
        <f>"35932021121308304267060"</f>
        <v>35932021121308304267060</v>
      </c>
      <c r="C833" s="2" t="s">
        <v>9</v>
      </c>
      <c r="D833" s="2" t="str">
        <f>"蔡於旺"</f>
        <v>蔡於旺</v>
      </c>
      <c r="E833" s="2" t="str">
        <f>"男"</f>
        <v>男</v>
      </c>
    </row>
    <row r="834" spans="1:5" s="1" customFormat="1" ht="34.5" customHeight="1">
      <c r="A834" s="2">
        <v>832</v>
      </c>
      <c r="B834" s="2" t="str">
        <f>"35932021121308453467065"</f>
        <v>35932021121308453467065</v>
      </c>
      <c r="C834" s="2" t="s">
        <v>9</v>
      </c>
      <c r="D834" s="2" t="str">
        <f>"甘晓静"</f>
        <v>甘晓静</v>
      </c>
      <c r="E834" s="2" t="str">
        <f>"女"</f>
        <v>女</v>
      </c>
    </row>
    <row r="835" spans="1:5" s="1" customFormat="1" ht="34.5" customHeight="1">
      <c r="A835" s="2">
        <v>833</v>
      </c>
      <c r="B835" s="2" t="str">
        <f>"35932021121309002567070"</f>
        <v>35932021121309002567070</v>
      </c>
      <c r="C835" s="2" t="s">
        <v>9</v>
      </c>
      <c r="D835" s="2" t="str">
        <f>"王飞"</f>
        <v>王飞</v>
      </c>
      <c r="E835" s="2" t="str">
        <f>"男"</f>
        <v>男</v>
      </c>
    </row>
    <row r="836" spans="1:5" s="1" customFormat="1" ht="34.5" customHeight="1">
      <c r="A836" s="2">
        <v>834</v>
      </c>
      <c r="B836" s="2" t="str">
        <f>"35932021121309270167087"</f>
        <v>35932021121309270167087</v>
      </c>
      <c r="C836" s="2" t="s">
        <v>9</v>
      </c>
      <c r="D836" s="2" t="str">
        <f>"王侨源"</f>
        <v>王侨源</v>
      </c>
      <c r="E836" s="2" t="str">
        <f>"女"</f>
        <v>女</v>
      </c>
    </row>
    <row r="837" spans="1:5" s="1" customFormat="1" ht="34.5" customHeight="1">
      <c r="A837" s="2">
        <v>835</v>
      </c>
      <c r="B837" s="2" t="str">
        <f>"35932021121309311367091"</f>
        <v>35932021121309311367091</v>
      </c>
      <c r="C837" s="2" t="s">
        <v>9</v>
      </c>
      <c r="D837" s="2" t="str">
        <f>"邢珍"</f>
        <v>邢珍</v>
      </c>
      <c r="E837" s="2" t="str">
        <f>"女"</f>
        <v>女</v>
      </c>
    </row>
    <row r="838" spans="1:5" s="1" customFormat="1" ht="34.5" customHeight="1">
      <c r="A838" s="2">
        <v>836</v>
      </c>
      <c r="B838" s="2" t="str">
        <f>"35932021121310211567113"</f>
        <v>35932021121310211567113</v>
      </c>
      <c r="C838" s="2" t="s">
        <v>9</v>
      </c>
      <c r="D838" s="2" t="str">
        <f>"彭千禧"</f>
        <v>彭千禧</v>
      </c>
      <c r="E838" s="2" t="str">
        <f>"女"</f>
        <v>女</v>
      </c>
    </row>
    <row r="839" spans="1:5" s="1" customFormat="1" ht="34.5" customHeight="1">
      <c r="A839" s="2">
        <v>837</v>
      </c>
      <c r="B839" s="2" t="str">
        <f>"35932021121310343367117"</f>
        <v>35932021121310343367117</v>
      </c>
      <c r="C839" s="2" t="s">
        <v>9</v>
      </c>
      <c r="D839" s="2" t="str">
        <f>"赖舒愉"</f>
        <v>赖舒愉</v>
      </c>
      <c r="E839" s="2" t="str">
        <f>"女"</f>
        <v>女</v>
      </c>
    </row>
    <row r="840" spans="1:5" s="1" customFormat="1" ht="34.5" customHeight="1">
      <c r="A840" s="2">
        <v>838</v>
      </c>
      <c r="B840" s="2" t="str">
        <f>"35932021121310542867123"</f>
        <v>35932021121310542867123</v>
      </c>
      <c r="C840" s="2" t="s">
        <v>9</v>
      </c>
      <c r="D840" s="2" t="str">
        <f>"曾垂腾"</f>
        <v>曾垂腾</v>
      </c>
      <c r="E840" s="2" t="str">
        <f>"男"</f>
        <v>男</v>
      </c>
    </row>
    <row r="841" spans="1:5" s="1" customFormat="1" ht="34.5" customHeight="1">
      <c r="A841" s="2">
        <v>839</v>
      </c>
      <c r="B841" s="2" t="str">
        <f>"35932021121311043967127"</f>
        <v>35932021121311043967127</v>
      </c>
      <c r="C841" s="2" t="s">
        <v>9</v>
      </c>
      <c r="D841" s="2" t="str">
        <f>"陈敏"</f>
        <v>陈敏</v>
      </c>
      <c r="E841" s="2" t="str">
        <f>"女"</f>
        <v>女</v>
      </c>
    </row>
    <row r="842" spans="1:5" s="1" customFormat="1" ht="34.5" customHeight="1">
      <c r="A842" s="2">
        <v>840</v>
      </c>
      <c r="B842" s="2" t="str">
        <f>"35932021121311062467128"</f>
        <v>35932021121311062467128</v>
      </c>
      <c r="C842" s="2" t="s">
        <v>9</v>
      </c>
      <c r="D842" s="2" t="str">
        <f>"陈美琼"</f>
        <v>陈美琼</v>
      </c>
      <c r="E842" s="2" t="str">
        <f>"女"</f>
        <v>女</v>
      </c>
    </row>
    <row r="843" spans="1:5" s="1" customFormat="1" ht="34.5" customHeight="1">
      <c r="A843" s="2">
        <v>841</v>
      </c>
      <c r="B843" s="2" t="str">
        <f>"35932021121311173167129"</f>
        <v>35932021121311173167129</v>
      </c>
      <c r="C843" s="2" t="s">
        <v>9</v>
      </c>
      <c r="D843" s="2" t="str">
        <f>"符碧娟"</f>
        <v>符碧娟</v>
      </c>
      <c r="E843" s="2" t="str">
        <f>"女"</f>
        <v>女</v>
      </c>
    </row>
    <row r="844" spans="1:5" s="1" customFormat="1" ht="34.5" customHeight="1">
      <c r="A844" s="2">
        <v>842</v>
      </c>
      <c r="B844" s="2" t="str">
        <f>"35932021121312233967151"</f>
        <v>35932021121312233967151</v>
      </c>
      <c r="C844" s="2" t="s">
        <v>9</v>
      </c>
      <c r="D844" s="2" t="str">
        <f>"王追鸿"</f>
        <v>王追鸿</v>
      </c>
      <c r="E844" s="2" t="str">
        <f>"男"</f>
        <v>男</v>
      </c>
    </row>
    <row r="845" spans="1:5" s="1" customFormat="1" ht="34.5" customHeight="1">
      <c r="A845" s="2">
        <v>843</v>
      </c>
      <c r="B845" s="2" t="str">
        <f>"35932021121312243567152"</f>
        <v>35932021121312243567152</v>
      </c>
      <c r="C845" s="2" t="s">
        <v>9</v>
      </c>
      <c r="D845" s="2" t="str">
        <f>"赵毓炎"</f>
        <v>赵毓炎</v>
      </c>
      <c r="E845" s="2" t="str">
        <f>"女"</f>
        <v>女</v>
      </c>
    </row>
    <row r="846" spans="1:5" s="1" customFormat="1" ht="34.5" customHeight="1">
      <c r="A846" s="2">
        <v>844</v>
      </c>
      <c r="B846" s="2" t="str">
        <f>"35932021121312425567156"</f>
        <v>35932021121312425567156</v>
      </c>
      <c r="C846" s="2" t="s">
        <v>9</v>
      </c>
      <c r="D846" s="2" t="str">
        <f>"黎钟文"</f>
        <v>黎钟文</v>
      </c>
      <c r="E846" s="2" t="str">
        <f>"男"</f>
        <v>男</v>
      </c>
    </row>
    <row r="847" spans="1:5" s="1" customFormat="1" ht="34.5" customHeight="1">
      <c r="A847" s="2">
        <v>845</v>
      </c>
      <c r="B847" s="2" t="str">
        <f>"35932021121312591267164"</f>
        <v>35932021121312591267164</v>
      </c>
      <c r="C847" s="2" t="s">
        <v>9</v>
      </c>
      <c r="D847" s="2" t="str">
        <f>"王淇"</f>
        <v>王淇</v>
      </c>
      <c r="E847" s="2" t="str">
        <f>"男"</f>
        <v>男</v>
      </c>
    </row>
    <row r="848" spans="1:5" s="1" customFormat="1" ht="34.5" customHeight="1">
      <c r="A848" s="2">
        <v>846</v>
      </c>
      <c r="B848" s="2" t="str">
        <f>"35932021121315251467207"</f>
        <v>35932021121315251467207</v>
      </c>
      <c r="C848" s="2" t="s">
        <v>9</v>
      </c>
      <c r="D848" s="2" t="str">
        <f>"虞佳菲"</f>
        <v>虞佳菲</v>
      </c>
      <c r="E848" s="2" t="str">
        <f>"女"</f>
        <v>女</v>
      </c>
    </row>
    <row r="849" spans="1:5" s="1" customFormat="1" ht="34.5" customHeight="1">
      <c r="A849" s="2">
        <v>847</v>
      </c>
      <c r="B849" s="2" t="str">
        <f>"35932021121315414867217"</f>
        <v>35932021121315414867217</v>
      </c>
      <c r="C849" s="2" t="s">
        <v>9</v>
      </c>
      <c r="D849" s="2" t="str">
        <f>"廖美欣"</f>
        <v>廖美欣</v>
      </c>
      <c r="E849" s="2" t="str">
        <f>"女"</f>
        <v>女</v>
      </c>
    </row>
    <row r="850" spans="1:5" s="1" customFormat="1" ht="34.5" customHeight="1">
      <c r="A850" s="2">
        <v>848</v>
      </c>
      <c r="B850" s="2" t="str">
        <f>"35932021121315441467218"</f>
        <v>35932021121315441467218</v>
      </c>
      <c r="C850" s="2" t="s">
        <v>9</v>
      </c>
      <c r="D850" s="2" t="str">
        <f>"刘云涛"</f>
        <v>刘云涛</v>
      </c>
      <c r="E850" s="2" t="str">
        <f>"男"</f>
        <v>男</v>
      </c>
    </row>
    <row r="851" spans="1:5" s="1" customFormat="1" ht="34.5" customHeight="1">
      <c r="A851" s="2">
        <v>849</v>
      </c>
      <c r="B851" s="2" t="str">
        <f>"35932021121316410067240"</f>
        <v>35932021121316410067240</v>
      </c>
      <c r="C851" s="2" t="s">
        <v>9</v>
      </c>
      <c r="D851" s="2" t="str">
        <f>"王伟萌"</f>
        <v>王伟萌</v>
      </c>
      <c r="E851" s="2" t="str">
        <f>"男"</f>
        <v>男</v>
      </c>
    </row>
    <row r="852" spans="1:5" s="1" customFormat="1" ht="34.5" customHeight="1">
      <c r="A852" s="2">
        <v>850</v>
      </c>
      <c r="B852" s="2" t="str">
        <f>"35932021121316475367242"</f>
        <v>35932021121316475367242</v>
      </c>
      <c r="C852" s="2" t="s">
        <v>9</v>
      </c>
      <c r="D852" s="2" t="str">
        <f>"谢佳佳"</f>
        <v>谢佳佳</v>
      </c>
      <c r="E852" s="2" t="str">
        <f>"女"</f>
        <v>女</v>
      </c>
    </row>
    <row r="853" spans="1:5" s="1" customFormat="1" ht="34.5" customHeight="1">
      <c r="A853" s="2">
        <v>851</v>
      </c>
      <c r="B853" s="2" t="str">
        <f>"35932021121317045867248"</f>
        <v>35932021121317045867248</v>
      </c>
      <c r="C853" s="2" t="s">
        <v>9</v>
      </c>
      <c r="D853" s="2" t="str">
        <f>"朱颖"</f>
        <v>朱颖</v>
      </c>
      <c r="E853" s="2" t="str">
        <f>"女"</f>
        <v>女</v>
      </c>
    </row>
    <row r="854" spans="1:5" s="1" customFormat="1" ht="34.5" customHeight="1">
      <c r="A854" s="2">
        <v>852</v>
      </c>
      <c r="B854" s="2" t="str">
        <f>"35932021121318043367264"</f>
        <v>35932021121318043367264</v>
      </c>
      <c r="C854" s="2" t="s">
        <v>9</v>
      </c>
      <c r="D854" s="2" t="str">
        <f>"陈少琴"</f>
        <v>陈少琴</v>
      </c>
      <c r="E854" s="2" t="str">
        <f>"女"</f>
        <v>女</v>
      </c>
    </row>
    <row r="855" spans="1:5" s="1" customFormat="1" ht="34.5" customHeight="1">
      <c r="A855" s="2">
        <v>853</v>
      </c>
      <c r="B855" s="2" t="str">
        <f>"35932021121318405767269"</f>
        <v>35932021121318405767269</v>
      </c>
      <c r="C855" s="2" t="s">
        <v>9</v>
      </c>
      <c r="D855" s="2" t="str">
        <f>"吴多龙"</f>
        <v>吴多龙</v>
      </c>
      <c r="E855" s="2" t="str">
        <f>"男"</f>
        <v>男</v>
      </c>
    </row>
    <row r="856" spans="1:5" s="1" customFormat="1" ht="34.5" customHeight="1">
      <c r="A856" s="2">
        <v>854</v>
      </c>
      <c r="B856" s="2" t="str">
        <f>"35932021121319210967275"</f>
        <v>35932021121319210967275</v>
      </c>
      <c r="C856" s="2" t="s">
        <v>9</v>
      </c>
      <c r="D856" s="2" t="str">
        <f>"黄琪娜"</f>
        <v>黄琪娜</v>
      </c>
      <c r="E856" s="2" t="str">
        <f aca="true" t="shared" si="26" ref="E856:E861">"女"</f>
        <v>女</v>
      </c>
    </row>
    <row r="857" spans="1:5" s="1" customFormat="1" ht="34.5" customHeight="1">
      <c r="A857" s="2">
        <v>855</v>
      </c>
      <c r="B857" s="2" t="str">
        <f>"35932021121319310667277"</f>
        <v>35932021121319310667277</v>
      </c>
      <c r="C857" s="2" t="s">
        <v>9</v>
      </c>
      <c r="D857" s="2" t="str">
        <f>"杜昭瑜"</f>
        <v>杜昭瑜</v>
      </c>
      <c r="E857" s="2" t="str">
        <f t="shared" si="26"/>
        <v>女</v>
      </c>
    </row>
    <row r="858" spans="1:5" s="1" customFormat="1" ht="34.5" customHeight="1">
      <c r="A858" s="2">
        <v>856</v>
      </c>
      <c r="B858" s="2" t="str">
        <f>"35932021121320164467288"</f>
        <v>35932021121320164467288</v>
      </c>
      <c r="C858" s="2" t="s">
        <v>9</v>
      </c>
      <c r="D858" s="2" t="str">
        <f>"林珍"</f>
        <v>林珍</v>
      </c>
      <c r="E858" s="2" t="str">
        <f t="shared" si="26"/>
        <v>女</v>
      </c>
    </row>
    <row r="859" spans="1:5" s="1" customFormat="1" ht="34.5" customHeight="1">
      <c r="A859" s="2">
        <v>857</v>
      </c>
      <c r="B859" s="2" t="str">
        <f>"35932021121320270167292"</f>
        <v>35932021121320270167292</v>
      </c>
      <c r="C859" s="2" t="s">
        <v>9</v>
      </c>
      <c r="D859" s="2" t="str">
        <f>"张小曼"</f>
        <v>张小曼</v>
      </c>
      <c r="E859" s="2" t="str">
        <f t="shared" si="26"/>
        <v>女</v>
      </c>
    </row>
    <row r="860" spans="1:5" s="1" customFormat="1" ht="34.5" customHeight="1">
      <c r="A860" s="2">
        <v>858</v>
      </c>
      <c r="B860" s="2" t="str">
        <f>"35932021121320512367300"</f>
        <v>35932021121320512367300</v>
      </c>
      <c r="C860" s="2" t="s">
        <v>9</v>
      </c>
      <c r="D860" s="2" t="str">
        <f>"李万内"</f>
        <v>李万内</v>
      </c>
      <c r="E860" s="2" t="str">
        <f t="shared" si="26"/>
        <v>女</v>
      </c>
    </row>
    <row r="861" spans="1:5" s="1" customFormat="1" ht="34.5" customHeight="1">
      <c r="A861" s="2">
        <v>859</v>
      </c>
      <c r="B861" s="2" t="str">
        <f>"35932021121321040067308"</f>
        <v>35932021121321040067308</v>
      </c>
      <c r="C861" s="2" t="s">
        <v>9</v>
      </c>
      <c r="D861" s="2" t="str">
        <f>"朱乔滟"</f>
        <v>朱乔滟</v>
      </c>
      <c r="E861" s="2" t="str">
        <f t="shared" si="26"/>
        <v>女</v>
      </c>
    </row>
    <row r="862" spans="1:5" s="1" customFormat="1" ht="34.5" customHeight="1">
      <c r="A862" s="2">
        <v>860</v>
      </c>
      <c r="B862" s="2" t="str">
        <f>"35932021121400384967344"</f>
        <v>35932021121400384967344</v>
      </c>
      <c r="C862" s="2" t="s">
        <v>9</v>
      </c>
      <c r="D862" s="2" t="str">
        <f>"陈运"</f>
        <v>陈运</v>
      </c>
      <c r="E862" s="2" t="str">
        <f>"男"</f>
        <v>男</v>
      </c>
    </row>
    <row r="863" spans="1:5" s="1" customFormat="1" ht="34.5" customHeight="1">
      <c r="A863" s="2">
        <v>861</v>
      </c>
      <c r="B863" s="2" t="str">
        <f>"35932021121403041967347"</f>
        <v>35932021121403041967347</v>
      </c>
      <c r="C863" s="2" t="s">
        <v>9</v>
      </c>
      <c r="D863" s="2" t="str">
        <f>"王馨"</f>
        <v>王馨</v>
      </c>
      <c r="E863" s="2" t="str">
        <f>"女"</f>
        <v>女</v>
      </c>
    </row>
    <row r="864" spans="1:5" s="1" customFormat="1" ht="34.5" customHeight="1">
      <c r="A864" s="2">
        <v>862</v>
      </c>
      <c r="B864" s="2" t="str">
        <f>"35932021121409414467367"</f>
        <v>35932021121409414467367</v>
      </c>
      <c r="C864" s="2" t="s">
        <v>9</v>
      </c>
      <c r="D864" s="2" t="str">
        <f>"陈飞臻"</f>
        <v>陈飞臻</v>
      </c>
      <c r="E864" s="2" t="str">
        <f>"女"</f>
        <v>女</v>
      </c>
    </row>
    <row r="865" spans="1:5" s="1" customFormat="1" ht="34.5" customHeight="1">
      <c r="A865" s="2">
        <v>863</v>
      </c>
      <c r="B865" s="2" t="str">
        <f>"35932021121410093267372"</f>
        <v>35932021121410093267372</v>
      </c>
      <c r="C865" s="2" t="s">
        <v>9</v>
      </c>
      <c r="D865" s="2" t="str">
        <f>"邱雪纯"</f>
        <v>邱雪纯</v>
      </c>
      <c r="E865" s="2" t="str">
        <f>"女"</f>
        <v>女</v>
      </c>
    </row>
    <row r="866" spans="1:5" s="1" customFormat="1" ht="34.5" customHeight="1">
      <c r="A866" s="2">
        <v>864</v>
      </c>
      <c r="B866" s="2" t="str">
        <f>"35932021121410512567387"</f>
        <v>35932021121410512567387</v>
      </c>
      <c r="C866" s="2" t="s">
        <v>9</v>
      </c>
      <c r="D866" s="2" t="str">
        <f>"周翔"</f>
        <v>周翔</v>
      </c>
      <c r="E866" s="2" t="str">
        <f>"女"</f>
        <v>女</v>
      </c>
    </row>
    <row r="867" spans="1:5" s="1" customFormat="1" ht="34.5" customHeight="1">
      <c r="A867" s="2">
        <v>865</v>
      </c>
      <c r="B867" s="2" t="str">
        <f>"35932021121410552667388"</f>
        <v>35932021121410552667388</v>
      </c>
      <c r="C867" s="2" t="s">
        <v>9</v>
      </c>
      <c r="D867" s="2" t="str">
        <f>"张洁"</f>
        <v>张洁</v>
      </c>
      <c r="E867" s="2" t="str">
        <f>"女"</f>
        <v>女</v>
      </c>
    </row>
    <row r="868" spans="1:5" s="1" customFormat="1" ht="34.5" customHeight="1">
      <c r="A868" s="2">
        <v>866</v>
      </c>
      <c r="B868" s="2" t="str">
        <f>"35932021121410563267389"</f>
        <v>35932021121410563267389</v>
      </c>
      <c r="C868" s="2" t="s">
        <v>9</v>
      </c>
      <c r="D868" s="2" t="str">
        <f>"连第勉"</f>
        <v>连第勉</v>
      </c>
      <c r="E868" s="2" t="str">
        <f>"男"</f>
        <v>男</v>
      </c>
    </row>
    <row r="869" spans="1:5" s="1" customFormat="1" ht="34.5" customHeight="1">
      <c r="A869" s="2">
        <v>867</v>
      </c>
      <c r="B869" s="2" t="str">
        <f>"35932021121411315967398"</f>
        <v>35932021121411315967398</v>
      </c>
      <c r="C869" s="2" t="s">
        <v>9</v>
      </c>
      <c r="D869" s="2" t="str">
        <f>"文良青"</f>
        <v>文良青</v>
      </c>
      <c r="E869" s="2" t="str">
        <f>"男"</f>
        <v>男</v>
      </c>
    </row>
    <row r="870" spans="1:5" s="1" customFormat="1" ht="34.5" customHeight="1">
      <c r="A870" s="2">
        <v>868</v>
      </c>
      <c r="B870" s="2" t="str">
        <f>"35932021121412011767405"</f>
        <v>35932021121412011767405</v>
      </c>
      <c r="C870" s="2" t="s">
        <v>9</v>
      </c>
      <c r="D870" s="2" t="str">
        <f>"曹裕琳"</f>
        <v>曹裕琳</v>
      </c>
      <c r="E870" s="2" t="str">
        <f>"女"</f>
        <v>女</v>
      </c>
    </row>
    <row r="871" spans="1:5" s="1" customFormat="1" ht="34.5" customHeight="1">
      <c r="A871" s="2">
        <v>869</v>
      </c>
      <c r="B871" s="2" t="str">
        <f>"35932021121412434667415"</f>
        <v>35932021121412434667415</v>
      </c>
      <c r="C871" s="2" t="s">
        <v>9</v>
      </c>
      <c r="D871" s="2" t="str">
        <f>"温婷婷"</f>
        <v>温婷婷</v>
      </c>
      <c r="E871" s="2" t="str">
        <f>"女"</f>
        <v>女</v>
      </c>
    </row>
    <row r="872" spans="1:5" s="1" customFormat="1" ht="34.5" customHeight="1">
      <c r="A872" s="2">
        <v>870</v>
      </c>
      <c r="B872" s="2" t="str">
        <f>"35932021121413093267418"</f>
        <v>35932021121413093267418</v>
      </c>
      <c r="C872" s="2" t="s">
        <v>9</v>
      </c>
      <c r="D872" s="2" t="str">
        <f>"丁坤练"</f>
        <v>丁坤练</v>
      </c>
      <c r="E872" s="2" t="str">
        <f>"女"</f>
        <v>女</v>
      </c>
    </row>
    <row r="873" spans="1:5" s="1" customFormat="1" ht="34.5" customHeight="1">
      <c r="A873" s="2">
        <v>871</v>
      </c>
      <c r="B873" s="2" t="str">
        <f>"35932021121414080067430"</f>
        <v>35932021121414080067430</v>
      </c>
      <c r="C873" s="2" t="s">
        <v>9</v>
      </c>
      <c r="D873" s="2" t="str">
        <f>"王安东"</f>
        <v>王安东</v>
      </c>
      <c r="E873" s="2" t="str">
        <f>"男"</f>
        <v>男</v>
      </c>
    </row>
    <row r="874" spans="1:5" s="1" customFormat="1" ht="34.5" customHeight="1">
      <c r="A874" s="2">
        <v>872</v>
      </c>
      <c r="B874" s="2" t="str">
        <f>"35932021121415235267448"</f>
        <v>35932021121415235267448</v>
      </c>
      <c r="C874" s="2" t="s">
        <v>9</v>
      </c>
      <c r="D874" s="2" t="str">
        <f>"卢瑶"</f>
        <v>卢瑶</v>
      </c>
      <c r="E874" s="2" t="str">
        <f aca="true" t="shared" si="27" ref="E874:E880">"女"</f>
        <v>女</v>
      </c>
    </row>
    <row r="875" spans="1:5" s="1" customFormat="1" ht="34.5" customHeight="1">
      <c r="A875" s="2">
        <v>873</v>
      </c>
      <c r="B875" s="2" t="str">
        <f>"35932021121415240867449"</f>
        <v>35932021121415240867449</v>
      </c>
      <c r="C875" s="2" t="s">
        <v>9</v>
      </c>
      <c r="D875" s="2" t="str">
        <f>"王晴"</f>
        <v>王晴</v>
      </c>
      <c r="E875" s="2" t="str">
        <f t="shared" si="27"/>
        <v>女</v>
      </c>
    </row>
    <row r="876" spans="1:5" s="1" customFormat="1" ht="34.5" customHeight="1">
      <c r="A876" s="2">
        <v>874</v>
      </c>
      <c r="B876" s="2" t="str">
        <f>"35932021121418133667488"</f>
        <v>35932021121418133667488</v>
      </c>
      <c r="C876" s="2" t="s">
        <v>9</v>
      </c>
      <c r="D876" s="2" t="str">
        <f>"彭诗琪"</f>
        <v>彭诗琪</v>
      </c>
      <c r="E876" s="2" t="str">
        <f t="shared" si="27"/>
        <v>女</v>
      </c>
    </row>
    <row r="877" spans="1:5" s="1" customFormat="1" ht="34.5" customHeight="1">
      <c r="A877" s="2">
        <v>875</v>
      </c>
      <c r="B877" s="2" t="str">
        <f>"35932021121418542767493"</f>
        <v>35932021121418542767493</v>
      </c>
      <c r="C877" s="2" t="s">
        <v>9</v>
      </c>
      <c r="D877" s="2" t="str">
        <f>"柯灵丹"</f>
        <v>柯灵丹</v>
      </c>
      <c r="E877" s="2" t="str">
        <f t="shared" si="27"/>
        <v>女</v>
      </c>
    </row>
    <row r="878" spans="1:5" s="1" customFormat="1" ht="34.5" customHeight="1">
      <c r="A878" s="2">
        <v>876</v>
      </c>
      <c r="B878" s="2" t="str">
        <f>"35932021121420060367502"</f>
        <v>35932021121420060367502</v>
      </c>
      <c r="C878" s="2" t="s">
        <v>9</v>
      </c>
      <c r="D878" s="2" t="str">
        <f>"陈诗韵"</f>
        <v>陈诗韵</v>
      </c>
      <c r="E878" s="2" t="str">
        <f t="shared" si="27"/>
        <v>女</v>
      </c>
    </row>
    <row r="879" spans="1:5" s="1" customFormat="1" ht="34.5" customHeight="1">
      <c r="A879" s="2">
        <v>877</v>
      </c>
      <c r="B879" s="2" t="str">
        <f>"35932021121420552567511"</f>
        <v>35932021121420552567511</v>
      </c>
      <c r="C879" s="2" t="s">
        <v>9</v>
      </c>
      <c r="D879" s="2" t="str">
        <f>"黄位娇"</f>
        <v>黄位娇</v>
      </c>
      <c r="E879" s="2" t="str">
        <f t="shared" si="27"/>
        <v>女</v>
      </c>
    </row>
    <row r="880" spans="1:5" s="1" customFormat="1" ht="34.5" customHeight="1">
      <c r="A880" s="2">
        <v>878</v>
      </c>
      <c r="B880" s="2" t="str">
        <f>"35932021121420580567512"</f>
        <v>35932021121420580567512</v>
      </c>
      <c r="C880" s="2" t="s">
        <v>9</v>
      </c>
      <c r="D880" s="2" t="str">
        <f>"黄薇铮"</f>
        <v>黄薇铮</v>
      </c>
      <c r="E880" s="2" t="str">
        <f t="shared" si="27"/>
        <v>女</v>
      </c>
    </row>
    <row r="881" spans="1:5" s="1" customFormat="1" ht="34.5" customHeight="1">
      <c r="A881" s="2">
        <v>879</v>
      </c>
      <c r="B881" s="2" t="str">
        <f>"35932021121421090767520"</f>
        <v>35932021121421090767520</v>
      </c>
      <c r="C881" s="2" t="s">
        <v>9</v>
      </c>
      <c r="D881" s="2" t="str">
        <f>"钟君翰"</f>
        <v>钟君翰</v>
      </c>
      <c r="E881" s="2" t="str">
        <f>"男"</f>
        <v>男</v>
      </c>
    </row>
    <row r="882" spans="1:5" s="1" customFormat="1" ht="34.5" customHeight="1">
      <c r="A882" s="2">
        <v>880</v>
      </c>
      <c r="B882" s="2" t="str">
        <f>"35932021121421432467529"</f>
        <v>35932021121421432467529</v>
      </c>
      <c r="C882" s="2" t="s">
        <v>9</v>
      </c>
      <c r="D882" s="2" t="str">
        <f>"徐锦明"</f>
        <v>徐锦明</v>
      </c>
      <c r="E882" s="2" t="str">
        <f>"男"</f>
        <v>男</v>
      </c>
    </row>
    <row r="883" spans="1:5" s="1" customFormat="1" ht="34.5" customHeight="1">
      <c r="A883" s="2">
        <v>881</v>
      </c>
      <c r="B883" s="2" t="str">
        <f>"35932021121421523067533"</f>
        <v>35932021121421523067533</v>
      </c>
      <c r="C883" s="2" t="s">
        <v>9</v>
      </c>
      <c r="D883" s="2" t="str">
        <f>"符德娴"</f>
        <v>符德娴</v>
      </c>
      <c r="E883" s="2" t="str">
        <f aca="true" t="shared" si="28" ref="E883:E888">"女"</f>
        <v>女</v>
      </c>
    </row>
    <row r="884" spans="1:5" s="1" customFormat="1" ht="34.5" customHeight="1">
      <c r="A884" s="2">
        <v>882</v>
      </c>
      <c r="B884" s="2" t="str">
        <f>"35932021121422210267539"</f>
        <v>35932021121422210267539</v>
      </c>
      <c r="C884" s="2" t="s">
        <v>9</v>
      </c>
      <c r="D884" s="2" t="str">
        <f>"罗洁纯"</f>
        <v>罗洁纯</v>
      </c>
      <c r="E884" s="2" t="str">
        <f t="shared" si="28"/>
        <v>女</v>
      </c>
    </row>
    <row r="885" spans="1:5" s="1" customFormat="1" ht="34.5" customHeight="1">
      <c r="A885" s="2">
        <v>883</v>
      </c>
      <c r="B885" s="2" t="str">
        <f>"35932021121423030967548"</f>
        <v>35932021121423030967548</v>
      </c>
      <c r="C885" s="2" t="s">
        <v>9</v>
      </c>
      <c r="D885" s="2" t="str">
        <f>"唐庆慧"</f>
        <v>唐庆慧</v>
      </c>
      <c r="E885" s="2" t="str">
        <f t="shared" si="28"/>
        <v>女</v>
      </c>
    </row>
    <row r="886" spans="1:5" s="1" customFormat="1" ht="34.5" customHeight="1">
      <c r="A886" s="2">
        <v>884</v>
      </c>
      <c r="B886" s="2" t="str">
        <f>"35932021121423031667549"</f>
        <v>35932021121423031667549</v>
      </c>
      <c r="C886" s="2" t="s">
        <v>9</v>
      </c>
      <c r="D886" s="2" t="str">
        <f>"李才燕"</f>
        <v>李才燕</v>
      </c>
      <c r="E886" s="2" t="str">
        <f t="shared" si="28"/>
        <v>女</v>
      </c>
    </row>
    <row r="887" spans="1:5" s="1" customFormat="1" ht="34.5" customHeight="1">
      <c r="A887" s="2">
        <v>885</v>
      </c>
      <c r="B887" s="2" t="str">
        <f>"35932021121508044267567"</f>
        <v>35932021121508044267567</v>
      </c>
      <c r="C887" s="2" t="s">
        <v>9</v>
      </c>
      <c r="D887" s="2" t="str">
        <f>"麦嘉丽"</f>
        <v>麦嘉丽</v>
      </c>
      <c r="E887" s="2" t="str">
        <f t="shared" si="28"/>
        <v>女</v>
      </c>
    </row>
    <row r="888" spans="1:5" s="1" customFormat="1" ht="34.5" customHeight="1">
      <c r="A888" s="2">
        <v>886</v>
      </c>
      <c r="B888" s="2" t="str">
        <f>"35932021121508505967571"</f>
        <v>35932021121508505967571</v>
      </c>
      <c r="C888" s="2" t="s">
        <v>9</v>
      </c>
      <c r="D888" s="2" t="str">
        <f>"崔育莹"</f>
        <v>崔育莹</v>
      </c>
      <c r="E888" s="2" t="str">
        <f t="shared" si="28"/>
        <v>女</v>
      </c>
    </row>
    <row r="889" spans="1:5" s="1" customFormat="1" ht="34.5" customHeight="1">
      <c r="A889" s="2">
        <v>887</v>
      </c>
      <c r="B889" s="2" t="str">
        <f>"35932021121509021067573"</f>
        <v>35932021121509021067573</v>
      </c>
      <c r="C889" s="2" t="s">
        <v>9</v>
      </c>
      <c r="D889" s="2" t="str">
        <f>"李振跃"</f>
        <v>李振跃</v>
      </c>
      <c r="E889" s="2" t="str">
        <f>"男"</f>
        <v>男</v>
      </c>
    </row>
    <row r="890" spans="1:5" s="1" customFormat="1" ht="34.5" customHeight="1">
      <c r="A890" s="2">
        <v>888</v>
      </c>
      <c r="B890" s="2" t="str">
        <f>"35932021121509303767581"</f>
        <v>35932021121509303767581</v>
      </c>
      <c r="C890" s="2" t="s">
        <v>9</v>
      </c>
      <c r="D890" s="2" t="str">
        <f>"覃秀巧"</f>
        <v>覃秀巧</v>
      </c>
      <c r="E890" s="2" t="str">
        <f>"女"</f>
        <v>女</v>
      </c>
    </row>
    <row r="891" spans="1:5" s="1" customFormat="1" ht="34.5" customHeight="1">
      <c r="A891" s="2">
        <v>889</v>
      </c>
      <c r="B891" s="2" t="str">
        <f>"35932021121510003067592"</f>
        <v>35932021121510003067592</v>
      </c>
      <c r="C891" s="2" t="s">
        <v>9</v>
      </c>
      <c r="D891" s="2" t="str">
        <f>"冯立果"</f>
        <v>冯立果</v>
      </c>
      <c r="E891" s="2" t="str">
        <f>"女"</f>
        <v>女</v>
      </c>
    </row>
    <row r="892" spans="1:5" s="1" customFormat="1" ht="34.5" customHeight="1">
      <c r="A892" s="2">
        <v>890</v>
      </c>
      <c r="B892" s="2" t="str">
        <f>"35932021121510231767596"</f>
        <v>35932021121510231767596</v>
      </c>
      <c r="C892" s="2" t="s">
        <v>9</v>
      </c>
      <c r="D892" s="2" t="str">
        <f>"麦芬芬"</f>
        <v>麦芬芬</v>
      </c>
      <c r="E892" s="2" t="str">
        <f>"女"</f>
        <v>女</v>
      </c>
    </row>
    <row r="893" spans="1:5" s="1" customFormat="1" ht="34.5" customHeight="1">
      <c r="A893" s="2">
        <v>891</v>
      </c>
      <c r="B893" s="2" t="str">
        <f>"35932021121512072767611"</f>
        <v>35932021121512072767611</v>
      </c>
      <c r="C893" s="2" t="s">
        <v>9</v>
      </c>
      <c r="D893" s="2" t="str">
        <f>"李丕成"</f>
        <v>李丕成</v>
      </c>
      <c r="E893" s="2" t="str">
        <f>"男"</f>
        <v>男</v>
      </c>
    </row>
    <row r="894" spans="1:5" s="1" customFormat="1" ht="34.5" customHeight="1">
      <c r="A894" s="2">
        <v>892</v>
      </c>
      <c r="B894" s="2" t="str">
        <f>"35932021121514123267626"</f>
        <v>35932021121514123267626</v>
      </c>
      <c r="C894" s="2" t="s">
        <v>9</v>
      </c>
      <c r="D894" s="2" t="str">
        <f>"林莉莉"</f>
        <v>林莉莉</v>
      </c>
      <c r="E894" s="2" t="str">
        <f>"女"</f>
        <v>女</v>
      </c>
    </row>
    <row r="895" spans="1:5" s="1" customFormat="1" ht="34.5" customHeight="1">
      <c r="A895" s="2">
        <v>893</v>
      </c>
      <c r="B895" s="2" t="str">
        <f>"35932021121514515267634"</f>
        <v>35932021121514515267634</v>
      </c>
      <c r="C895" s="2" t="s">
        <v>9</v>
      </c>
      <c r="D895" s="2" t="str">
        <f>"唐皭琪"</f>
        <v>唐皭琪</v>
      </c>
      <c r="E895" s="2" t="str">
        <f>"女"</f>
        <v>女</v>
      </c>
    </row>
    <row r="896" spans="1:5" s="1" customFormat="1" ht="34.5" customHeight="1">
      <c r="A896" s="2">
        <v>894</v>
      </c>
      <c r="B896" s="2" t="str">
        <f>"35932021121515333667639"</f>
        <v>35932021121515333667639</v>
      </c>
      <c r="C896" s="2" t="s">
        <v>9</v>
      </c>
      <c r="D896" s="2" t="str">
        <f>"李永达"</f>
        <v>李永达</v>
      </c>
      <c r="E896" s="2" t="str">
        <f>"男"</f>
        <v>男</v>
      </c>
    </row>
    <row r="897" spans="1:5" s="1" customFormat="1" ht="34.5" customHeight="1">
      <c r="A897" s="2">
        <v>895</v>
      </c>
      <c r="B897" s="2" t="str">
        <f>"35932021121517014767665"</f>
        <v>35932021121517014767665</v>
      </c>
      <c r="C897" s="2" t="s">
        <v>9</v>
      </c>
      <c r="D897" s="2" t="str">
        <f>"王芹"</f>
        <v>王芹</v>
      </c>
      <c r="E897" s="2" t="str">
        <f>"女"</f>
        <v>女</v>
      </c>
    </row>
    <row r="898" spans="1:5" s="1" customFormat="1" ht="34.5" customHeight="1">
      <c r="A898" s="2">
        <v>896</v>
      </c>
      <c r="B898" s="2" t="str">
        <f>"35932021121517224267672"</f>
        <v>35932021121517224267672</v>
      </c>
      <c r="C898" s="2" t="s">
        <v>9</v>
      </c>
      <c r="D898" s="2" t="str">
        <f>"黄爱兰"</f>
        <v>黄爱兰</v>
      </c>
      <c r="E898" s="2" t="str">
        <f>"女"</f>
        <v>女</v>
      </c>
    </row>
    <row r="899" spans="1:5" s="1" customFormat="1" ht="34.5" customHeight="1">
      <c r="A899" s="2">
        <v>897</v>
      </c>
      <c r="B899" s="2" t="str">
        <f>"35932021121517305067673"</f>
        <v>35932021121517305067673</v>
      </c>
      <c r="C899" s="2" t="s">
        <v>9</v>
      </c>
      <c r="D899" s="2" t="str">
        <f>"王炬登"</f>
        <v>王炬登</v>
      </c>
      <c r="E899" s="2" t="str">
        <f>"男"</f>
        <v>男</v>
      </c>
    </row>
    <row r="900" spans="1:5" s="1" customFormat="1" ht="34.5" customHeight="1">
      <c r="A900" s="2">
        <v>898</v>
      </c>
      <c r="B900" s="2" t="str">
        <f>"35932021121517390467676"</f>
        <v>35932021121517390467676</v>
      </c>
      <c r="C900" s="2" t="s">
        <v>9</v>
      </c>
      <c r="D900" s="2" t="str">
        <f>"蔡例桃"</f>
        <v>蔡例桃</v>
      </c>
      <c r="E900" s="2" t="str">
        <f>"女"</f>
        <v>女</v>
      </c>
    </row>
    <row r="901" spans="1:5" s="1" customFormat="1" ht="34.5" customHeight="1">
      <c r="A901" s="2">
        <v>899</v>
      </c>
      <c r="B901" s="2" t="str">
        <f>"35932021121517404367677"</f>
        <v>35932021121517404367677</v>
      </c>
      <c r="C901" s="2" t="s">
        <v>9</v>
      </c>
      <c r="D901" s="2" t="str">
        <f>"周颖"</f>
        <v>周颖</v>
      </c>
      <c r="E901" s="2" t="str">
        <f>"女"</f>
        <v>女</v>
      </c>
    </row>
    <row r="902" spans="1:5" s="1" customFormat="1" ht="34.5" customHeight="1">
      <c r="A902" s="2">
        <v>900</v>
      </c>
      <c r="B902" s="2" t="str">
        <f>"35932021121518340367688"</f>
        <v>35932021121518340367688</v>
      </c>
      <c r="C902" s="2" t="s">
        <v>9</v>
      </c>
      <c r="D902" s="2" t="str">
        <f>"李梓玉"</f>
        <v>李梓玉</v>
      </c>
      <c r="E902" s="2" t="str">
        <f>"女"</f>
        <v>女</v>
      </c>
    </row>
    <row r="903" spans="1:5" s="1" customFormat="1" ht="34.5" customHeight="1">
      <c r="A903" s="2">
        <v>901</v>
      </c>
      <c r="B903" s="2" t="str">
        <f>"35932021121519165567696"</f>
        <v>35932021121519165567696</v>
      </c>
      <c r="C903" s="2" t="s">
        <v>9</v>
      </c>
      <c r="D903" s="2" t="str">
        <f>"罗熙"</f>
        <v>罗熙</v>
      </c>
      <c r="E903" s="2" t="str">
        <f>"男"</f>
        <v>男</v>
      </c>
    </row>
    <row r="904" spans="1:5" s="1" customFormat="1" ht="34.5" customHeight="1">
      <c r="A904" s="2">
        <v>902</v>
      </c>
      <c r="B904" s="2" t="str">
        <f>"35932021121519355367701"</f>
        <v>35932021121519355367701</v>
      </c>
      <c r="C904" s="2" t="s">
        <v>9</v>
      </c>
      <c r="D904" s="2" t="str">
        <f>"韩路"</f>
        <v>韩路</v>
      </c>
      <c r="E904" s="2" t="str">
        <f>"女"</f>
        <v>女</v>
      </c>
    </row>
    <row r="905" spans="1:5" s="1" customFormat="1" ht="34.5" customHeight="1">
      <c r="A905" s="2">
        <v>903</v>
      </c>
      <c r="B905" s="2" t="str">
        <f>"35932021121519550267704"</f>
        <v>35932021121519550267704</v>
      </c>
      <c r="C905" s="2" t="s">
        <v>9</v>
      </c>
      <c r="D905" s="2" t="str">
        <f>"张盛凯"</f>
        <v>张盛凯</v>
      </c>
      <c r="E905" s="2" t="str">
        <f>"男"</f>
        <v>男</v>
      </c>
    </row>
    <row r="906" spans="1:5" s="1" customFormat="1" ht="34.5" customHeight="1">
      <c r="A906" s="2">
        <v>904</v>
      </c>
      <c r="B906" s="2" t="str">
        <f>"35932021121520005767705"</f>
        <v>35932021121520005767705</v>
      </c>
      <c r="C906" s="2" t="s">
        <v>9</v>
      </c>
      <c r="D906" s="2" t="str">
        <f>"王国安"</f>
        <v>王国安</v>
      </c>
      <c r="E906" s="2" t="str">
        <f>"男"</f>
        <v>男</v>
      </c>
    </row>
    <row r="907" spans="1:5" s="1" customFormat="1" ht="34.5" customHeight="1">
      <c r="A907" s="2">
        <v>905</v>
      </c>
      <c r="B907" s="2" t="str">
        <f>"35932021121522545067748"</f>
        <v>35932021121522545067748</v>
      </c>
      <c r="C907" s="2" t="s">
        <v>9</v>
      </c>
      <c r="D907" s="2" t="str">
        <f>"吴桃艳"</f>
        <v>吴桃艳</v>
      </c>
      <c r="E907" s="2" t="str">
        <f>"女"</f>
        <v>女</v>
      </c>
    </row>
    <row r="908" spans="1:5" s="1" customFormat="1" ht="34.5" customHeight="1">
      <c r="A908" s="2">
        <v>906</v>
      </c>
      <c r="B908" s="2" t="str">
        <f>"35932021121523421467753"</f>
        <v>35932021121523421467753</v>
      </c>
      <c r="C908" s="2" t="s">
        <v>9</v>
      </c>
      <c r="D908" s="2" t="str">
        <f>"林春"</f>
        <v>林春</v>
      </c>
      <c r="E908" s="2" t="str">
        <f>"女"</f>
        <v>女</v>
      </c>
    </row>
    <row r="909" spans="1:5" s="1" customFormat="1" ht="34.5" customHeight="1">
      <c r="A909" s="2">
        <v>907</v>
      </c>
      <c r="B909" s="2" t="str">
        <f>"35932021121600593767761"</f>
        <v>35932021121600593767761</v>
      </c>
      <c r="C909" s="2" t="s">
        <v>9</v>
      </c>
      <c r="D909" s="2" t="str">
        <f>"陈静"</f>
        <v>陈静</v>
      </c>
      <c r="E909" s="2" t="str">
        <f>"女"</f>
        <v>女</v>
      </c>
    </row>
    <row r="910" spans="1:5" s="1" customFormat="1" ht="34.5" customHeight="1">
      <c r="A910" s="2">
        <v>908</v>
      </c>
      <c r="B910" s="2" t="str">
        <f>"35932021121609430967775"</f>
        <v>35932021121609430967775</v>
      </c>
      <c r="C910" s="2" t="s">
        <v>9</v>
      </c>
      <c r="D910" s="2" t="str">
        <f>"林瑞桃"</f>
        <v>林瑞桃</v>
      </c>
      <c r="E910" s="2" t="str">
        <f>"女"</f>
        <v>女</v>
      </c>
    </row>
    <row r="911" spans="1:5" s="1" customFormat="1" ht="34.5" customHeight="1">
      <c r="A911" s="2">
        <v>909</v>
      </c>
      <c r="B911" s="2" t="str">
        <f>"35932021121610274767786"</f>
        <v>35932021121610274767786</v>
      </c>
      <c r="C911" s="2" t="s">
        <v>9</v>
      </c>
      <c r="D911" s="2" t="str">
        <f>"杨武"</f>
        <v>杨武</v>
      </c>
      <c r="E911" s="2" t="str">
        <f>"男"</f>
        <v>男</v>
      </c>
    </row>
    <row r="912" spans="1:5" s="1" customFormat="1" ht="34.5" customHeight="1">
      <c r="A912" s="2">
        <v>910</v>
      </c>
      <c r="B912" s="2" t="str">
        <f>"35932021121611135667796"</f>
        <v>35932021121611135667796</v>
      </c>
      <c r="C912" s="2" t="s">
        <v>9</v>
      </c>
      <c r="D912" s="2" t="str">
        <f>"林春"</f>
        <v>林春</v>
      </c>
      <c r="E912" s="2" t="str">
        <f>"男"</f>
        <v>男</v>
      </c>
    </row>
    <row r="913" spans="1:5" s="1" customFormat="1" ht="34.5" customHeight="1">
      <c r="A913" s="2">
        <v>911</v>
      </c>
      <c r="B913" s="2" t="str">
        <f>"35932021121611293367805"</f>
        <v>35932021121611293367805</v>
      </c>
      <c r="C913" s="2" t="s">
        <v>9</v>
      </c>
      <c r="D913" s="2" t="str">
        <f>"邢云淋"</f>
        <v>邢云淋</v>
      </c>
      <c r="E913" s="2" t="str">
        <f>"女"</f>
        <v>女</v>
      </c>
    </row>
    <row r="914" spans="1:5" s="1" customFormat="1" ht="34.5" customHeight="1">
      <c r="A914" s="2">
        <v>912</v>
      </c>
      <c r="B914" s="2" t="str">
        <f>"35932021121611493567814"</f>
        <v>35932021121611493567814</v>
      </c>
      <c r="C914" s="2" t="s">
        <v>9</v>
      </c>
      <c r="D914" s="2" t="str">
        <f>"邱功川"</f>
        <v>邱功川</v>
      </c>
      <c r="E914" s="2" t="str">
        <f>"男"</f>
        <v>男</v>
      </c>
    </row>
    <row r="915" spans="1:5" s="1" customFormat="1" ht="34.5" customHeight="1">
      <c r="A915" s="2">
        <v>913</v>
      </c>
      <c r="B915" s="2" t="str">
        <f>"35932021121611571767817"</f>
        <v>35932021121611571767817</v>
      </c>
      <c r="C915" s="2" t="s">
        <v>9</v>
      </c>
      <c r="D915" s="2" t="str">
        <f>"郭帅"</f>
        <v>郭帅</v>
      </c>
      <c r="E915" s="2" t="str">
        <f>"男"</f>
        <v>男</v>
      </c>
    </row>
    <row r="916" spans="1:5" s="1" customFormat="1" ht="34.5" customHeight="1">
      <c r="A916" s="2">
        <v>914</v>
      </c>
      <c r="B916" s="2" t="str">
        <f>"35932021121612293367819"</f>
        <v>35932021121612293367819</v>
      </c>
      <c r="C916" s="2" t="s">
        <v>9</v>
      </c>
      <c r="D916" s="2" t="str">
        <f>"海小丽"</f>
        <v>海小丽</v>
      </c>
      <c r="E916" s="2" t="str">
        <f aca="true" t="shared" si="29" ref="E916:E930">"女"</f>
        <v>女</v>
      </c>
    </row>
    <row r="917" spans="1:5" s="1" customFormat="1" ht="34.5" customHeight="1">
      <c r="A917" s="2">
        <v>915</v>
      </c>
      <c r="B917" s="2" t="str">
        <f>"35932021121613040467827"</f>
        <v>35932021121613040467827</v>
      </c>
      <c r="C917" s="2" t="s">
        <v>9</v>
      </c>
      <c r="D917" s="2" t="str">
        <f>"单雪红"</f>
        <v>单雪红</v>
      </c>
      <c r="E917" s="2" t="str">
        <f t="shared" si="29"/>
        <v>女</v>
      </c>
    </row>
    <row r="918" spans="1:5" s="1" customFormat="1" ht="34.5" customHeight="1">
      <c r="A918" s="2">
        <v>916</v>
      </c>
      <c r="B918" s="2" t="str">
        <f>"35932021121614484067841"</f>
        <v>35932021121614484067841</v>
      </c>
      <c r="C918" s="2" t="s">
        <v>9</v>
      </c>
      <c r="D918" s="2" t="str">
        <f>"王莹"</f>
        <v>王莹</v>
      </c>
      <c r="E918" s="2" t="str">
        <f t="shared" si="29"/>
        <v>女</v>
      </c>
    </row>
    <row r="919" spans="1:5" s="1" customFormat="1" ht="34.5" customHeight="1">
      <c r="A919" s="2">
        <v>917</v>
      </c>
      <c r="B919" s="2" t="str">
        <f>"35932021121615331967846"</f>
        <v>35932021121615331967846</v>
      </c>
      <c r="C919" s="2" t="s">
        <v>9</v>
      </c>
      <c r="D919" s="2" t="str">
        <f>"朱典兰"</f>
        <v>朱典兰</v>
      </c>
      <c r="E919" s="2" t="str">
        <f t="shared" si="29"/>
        <v>女</v>
      </c>
    </row>
    <row r="920" spans="1:5" s="1" customFormat="1" ht="34.5" customHeight="1">
      <c r="A920" s="2">
        <v>918</v>
      </c>
      <c r="B920" s="2" t="str">
        <f>"35932021121618373767874"</f>
        <v>35932021121618373767874</v>
      </c>
      <c r="C920" s="2" t="s">
        <v>9</v>
      </c>
      <c r="D920" s="2" t="str">
        <f>"宋玉琼"</f>
        <v>宋玉琼</v>
      </c>
      <c r="E920" s="2" t="str">
        <f t="shared" si="29"/>
        <v>女</v>
      </c>
    </row>
    <row r="921" spans="1:5" s="1" customFormat="1" ht="34.5" customHeight="1">
      <c r="A921" s="2">
        <v>919</v>
      </c>
      <c r="B921" s="2" t="str">
        <f>"35932021121620352967884"</f>
        <v>35932021121620352967884</v>
      </c>
      <c r="C921" s="2" t="s">
        <v>9</v>
      </c>
      <c r="D921" s="2" t="str">
        <f>"符桂宁"</f>
        <v>符桂宁</v>
      </c>
      <c r="E921" s="2" t="str">
        <f t="shared" si="29"/>
        <v>女</v>
      </c>
    </row>
    <row r="922" spans="1:5" s="1" customFormat="1" ht="34.5" customHeight="1">
      <c r="A922" s="2">
        <v>920</v>
      </c>
      <c r="B922" s="2" t="str">
        <f>"35932021121621081467889"</f>
        <v>35932021121621081467889</v>
      </c>
      <c r="C922" s="2" t="s">
        <v>9</v>
      </c>
      <c r="D922" s="2" t="str">
        <f>"陈选花"</f>
        <v>陈选花</v>
      </c>
      <c r="E922" s="2" t="str">
        <f t="shared" si="29"/>
        <v>女</v>
      </c>
    </row>
    <row r="923" spans="1:5" s="1" customFormat="1" ht="34.5" customHeight="1">
      <c r="A923" s="2">
        <v>921</v>
      </c>
      <c r="B923" s="2" t="str">
        <f>"35932021121621435667898"</f>
        <v>35932021121621435667898</v>
      </c>
      <c r="C923" s="2" t="s">
        <v>9</v>
      </c>
      <c r="D923" s="2" t="str">
        <f>"李玉冰"</f>
        <v>李玉冰</v>
      </c>
      <c r="E923" s="2" t="str">
        <f t="shared" si="29"/>
        <v>女</v>
      </c>
    </row>
    <row r="924" spans="1:5" s="1" customFormat="1" ht="34.5" customHeight="1">
      <c r="A924" s="2">
        <v>922</v>
      </c>
      <c r="B924" s="2" t="str">
        <f>"35932021121621484667899"</f>
        <v>35932021121621484667899</v>
      </c>
      <c r="C924" s="2" t="s">
        <v>9</v>
      </c>
      <c r="D924" s="2" t="str">
        <f>"陈琳"</f>
        <v>陈琳</v>
      </c>
      <c r="E924" s="2" t="str">
        <f t="shared" si="29"/>
        <v>女</v>
      </c>
    </row>
    <row r="925" spans="1:5" s="1" customFormat="1" ht="34.5" customHeight="1">
      <c r="A925" s="2">
        <v>923</v>
      </c>
      <c r="B925" s="2" t="str">
        <f>"35932021121622104167903"</f>
        <v>35932021121622104167903</v>
      </c>
      <c r="C925" s="2" t="s">
        <v>9</v>
      </c>
      <c r="D925" s="2" t="str">
        <f>"陈露"</f>
        <v>陈露</v>
      </c>
      <c r="E925" s="2" t="str">
        <f t="shared" si="29"/>
        <v>女</v>
      </c>
    </row>
    <row r="926" spans="1:5" s="1" customFormat="1" ht="34.5" customHeight="1">
      <c r="A926" s="2">
        <v>924</v>
      </c>
      <c r="B926" s="2" t="str">
        <f>"35932021121623154267910"</f>
        <v>35932021121623154267910</v>
      </c>
      <c r="C926" s="2" t="s">
        <v>9</v>
      </c>
      <c r="D926" s="2" t="str">
        <f>"邢馨之"</f>
        <v>邢馨之</v>
      </c>
      <c r="E926" s="2" t="str">
        <f t="shared" si="29"/>
        <v>女</v>
      </c>
    </row>
    <row r="927" spans="1:5" s="1" customFormat="1" ht="34.5" customHeight="1">
      <c r="A927" s="2">
        <v>925</v>
      </c>
      <c r="B927" s="2" t="str">
        <f>"35932021121623205167912"</f>
        <v>35932021121623205167912</v>
      </c>
      <c r="C927" s="2" t="s">
        <v>9</v>
      </c>
      <c r="D927" s="2" t="str">
        <f>"李敏"</f>
        <v>李敏</v>
      </c>
      <c r="E927" s="2" t="str">
        <f t="shared" si="29"/>
        <v>女</v>
      </c>
    </row>
    <row r="928" spans="1:5" s="1" customFormat="1" ht="34.5" customHeight="1">
      <c r="A928" s="2">
        <v>926</v>
      </c>
      <c r="B928" s="2" t="str">
        <f>"35932021121700043567917"</f>
        <v>35932021121700043567917</v>
      </c>
      <c r="C928" s="2" t="s">
        <v>9</v>
      </c>
      <c r="D928" s="2" t="str">
        <f>"陈玲玉"</f>
        <v>陈玲玉</v>
      </c>
      <c r="E928" s="2" t="str">
        <f t="shared" si="29"/>
        <v>女</v>
      </c>
    </row>
    <row r="929" spans="1:5" s="1" customFormat="1" ht="34.5" customHeight="1">
      <c r="A929" s="2">
        <v>927</v>
      </c>
      <c r="B929" s="2" t="str">
        <f>"35932021121713125667958"</f>
        <v>35932021121713125667958</v>
      </c>
      <c r="C929" s="2" t="s">
        <v>9</v>
      </c>
      <c r="D929" s="2" t="str">
        <f>"陈海珍"</f>
        <v>陈海珍</v>
      </c>
      <c r="E929" s="2" t="str">
        <f t="shared" si="29"/>
        <v>女</v>
      </c>
    </row>
    <row r="930" spans="1:5" s="1" customFormat="1" ht="34.5" customHeight="1">
      <c r="A930" s="2">
        <v>928</v>
      </c>
      <c r="B930" s="2" t="str">
        <f>"35932021121713234567961"</f>
        <v>35932021121713234567961</v>
      </c>
      <c r="C930" s="2" t="s">
        <v>9</v>
      </c>
      <c r="D930" s="2" t="str">
        <f>"陆玲"</f>
        <v>陆玲</v>
      </c>
      <c r="E930" s="2" t="str">
        <f t="shared" si="29"/>
        <v>女</v>
      </c>
    </row>
    <row r="931" spans="1:5" s="1" customFormat="1" ht="34.5" customHeight="1">
      <c r="A931" s="2">
        <v>929</v>
      </c>
      <c r="B931" s="2" t="str">
        <f>"35932021121713253867962"</f>
        <v>35932021121713253867962</v>
      </c>
      <c r="C931" s="2" t="s">
        <v>9</v>
      </c>
      <c r="D931" s="2" t="str">
        <f>"陈冠儒"</f>
        <v>陈冠儒</v>
      </c>
      <c r="E931" s="2" t="str">
        <f>"男"</f>
        <v>男</v>
      </c>
    </row>
    <row r="932" spans="1:5" s="1" customFormat="1" ht="34.5" customHeight="1">
      <c r="A932" s="2">
        <v>930</v>
      </c>
      <c r="B932" s="2" t="str">
        <f>"35932021121715340867983"</f>
        <v>35932021121715340867983</v>
      </c>
      <c r="C932" s="2" t="s">
        <v>9</v>
      </c>
      <c r="D932" s="2" t="str">
        <f>"江莎莎"</f>
        <v>江莎莎</v>
      </c>
      <c r="E932" s="2" t="str">
        <f>"女"</f>
        <v>女</v>
      </c>
    </row>
    <row r="933" spans="1:5" s="1" customFormat="1" ht="34.5" customHeight="1">
      <c r="A933" s="2">
        <v>931</v>
      </c>
      <c r="B933" s="2" t="str">
        <f>"35932021121715351367984"</f>
        <v>35932021121715351367984</v>
      </c>
      <c r="C933" s="2" t="s">
        <v>9</v>
      </c>
      <c r="D933" s="2" t="str">
        <f>"羊顺玲"</f>
        <v>羊顺玲</v>
      </c>
      <c r="E933" s="2" t="str">
        <f>"女"</f>
        <v>女</v>
      </c>
    </row>
    <row r="934" spans="1:5" s="1" customFormat="1" ht="34.5" customHeight="1">
      <c r="A934" s="2">
        <v>932</v>
      </c>
      <c r="B934" s="2" t="str">
        <f>"35932021121715590767989"</f>
        <v>35932021121715590767989</v>
      </c>
      <c r="C934" s="2" t="s">
        <v>9</v>
      </c>
      <c r="D934" s="2" t="str">
        <f>"李云蔚"</f>
        <v>李云蔚</v>
      </c>
      <c r="E934" s="2" t="str">
        <f>"女"</f>
        <v>女</v>
      </c>
    </row>
    <row r="935" spans="1:5" s="1" customFormat="1" ht="34.5" customHeight="1">
      <c r="A935" s="2">
        <v>933</v>
      </c>
      <c r="B935" s="2" t="str">
        <f>"35932021121717334368008"</f>
        <v>35932021121717334368008</v>
      </c>
      <c r="C935" s="2" t="s">
        <v>9</v>
      </c>
      <c r="D935" s="2" t="str">
        <f>"吉秋妍"</f>
        <v>吉秋妍</v>
      </c>
      <c r="E935" s="2" t="str">
        <f>"女"</f>
        <v>女</v>
      </c>
    </row>
    <row r="936" spans="1:5" s="1" customFormat="1" ht="34.5" customHeight="1">
      <c r="A936" s="2">
        <v>934</v>
      </c>
      <c r="B936" s="2" t="str">
        <f>"35932021121721380968031"</f>
        <v>35932021121721380968031</v>
      </c>
      <c r="C936" s="2" t="s">
        <v>9</v>
      </c>
      <c r="D936" s="2" t="str">
        <f>"何琪"</f>
        <v>何琪</v>
      </c>
      <c r="E936" s="2" t="str">
        <f>"女"</f>
        <v>女</v>
      </c>
    </row>
    <row r="937" spans="1:5" s="1" customFormat="1" ht="34.5" customHeight="1">
      <c r="A937" s="2">
        <v>935</v>
      </c>
      <c r="B937" s="2" t="str">
        <f>"35932021121722264768039"</f>
        <v>35932021121722264768039</v>
      </c>
      <c r="C937" s="2" t="s">
        <v>9</v>
      </c>
      <c r="D937" s="2" t="str">
        <f>"洪杰英"</f>
        <v>洪杰英</v>
      </c>
      <c r="E937" s="2" t="str">
        <f>"男"</f>
        <v>男</v>
      </c>
    </row>
    <row r="938" spans="1:5" s="1" customFormat="1" ht="34.5" customHeight="1">
      <c r="A938" s="2">
        <v>936</v>
      </c>
      <c r="B938" s="2" t="str">
        <f>"35932021121723061268046"</f>
        <v>35932021121723061268046</v>
      </c>
      <c r="C938" s="2" t="s">
        <v>9</v>
      </c>
      <c r="D938" s="2" t="str">
        <f>"王译卿"</f>
        <v>王译卿</v>
      </c>
      <c r="E938" s="2" t="str">
        <f>"女"</f>
        <v>女</v>
      </c>
    </row>
    <row r="939" spans="1:5" s="1" customFormat="1" ht="34.5" customHeight="1">
      <c r="A939" s="2">
        <v>937</v>
      </c>
      <c r="B939" s="2" t="str">
        <f>"35932021121808425968064"</f>
        <v>35932021121808425968064</v>
      </c>
      <c r="C939" s="2" t="s">
        <v>9</v>
      </c>
      <c r="D939" s="2" t="str">
        <f>"王紫玉"</f>
        <v>王紫玉</v>
      </c>
      <c r="E939" s="2" t="str">
        <f>"女"</f>
        <v>女</v>
      </c>
    </row>
    <row r="940" spans="1:5" s="1" customFormat="1" ht="34.5" customHeight="1">
      <c r="A940" s="2">
        <v>938</v>
      </c>
      <c r="B940" s="2" t="str">
        <f>"35932021121809251368082"</f>
        <v>35932021121809251368082</v>
      </c>
      <c r="C940" s="2" t="s">
        <v>9</v>
      </c>
      <c r="D940" s="2" t="str">
        <f>"卢莉莎"</f>
        <v>卢莉莎</v>
      </c>
      <c r="E940" s="2" t="str">
        <f>"女"</f>
        <v>女</v>
      </c>
    </row>
    <row r="941" spans="1:5" s="1" customFormat="1" ht="34.5" customHeight="1">
      <c r="A941" s="2">
        <v>939</v>
      </c>
      <c r="B941" s="2" t="str">
        <f>"35932021121811314068129"</f>
        <v>35932021121811314068129</v>
      </c>
      <c r="C941" s="2" t="s">
        <v>9</v>
      </c>
      <c r="D941" s="2" t="str">
        <f>"云天怡"</f>
        <v>云天怡</v>
      </c>
      <c r="E941" s="2" t="str">
        <f>"女"</f>
        <v>女</v>
      </c>
    </row>
    <row r="942" spans="1:5" s="1" customFormat="1" ht="34.5" customHeight="1">
      <c r="A942" s="2">
        <v>940</v>
      </c>
      <c r="B942" s="2" t="str">
        <f>"35932021121817085168220"</f>
        <v>35932021121817085168220</v>
      </c>
      <c r="C942" s="2" t="s">
        <v>9</v>
      </c>
      <c r="D942" s="2" t="str">
        <f>"符东琦"</f>
        <v>符东琦</v>
      </c>
      <c r="E942" s="2" t="str">
        <f>"男"</f>
        <v>男</v>
      </c>
    </row>
    <row r="943" spans="1:5" s="1" customFormat="1" ht="34.5" customHeight="1">
      <c r="A943" s="2">
        <v>941</v>
      </c>
      <c r="B943" s="2" t="str">
        <f>"35932021121817511668234"</f>
        <v>35932021121817511668234</v>
      </c>
      <c r="C943" s="2" t="s">
        <v>9</v>
      </c>
      <c r="D943" s="2" t="str">
        <f>"陈冰"</f>
        <v>陈冰</v>
      </c>
      <c r="E943" s="2" t="str">
        <f>"女"</f>
        <v>女</v>
      </c>
    </row>
    <row r="944" spans="1:5" s="1" customFormat="1" ht="34.5" customHeight="1">
      <c r="A944" s="2">
        <v>942</v>
      </c>
      <c r="B944" s="2" t="str">
        <f>"35932021121818201568243"</f>
        <v>35932021121818201568243</v>
      </c>
      <c r="C944" s="2" t="s">
        <v>9</v>
      </c>
      <c r="D944" s="2" t="str">
        <f>"吴香雪"</f>
        <v>吴香雪</v>
      </c>
      <c r="E944" s="2" t="str">
        <f>"女"</f>
        <v>女</v>
      </c>
    </row>
    <row r="945" spans="1:5" s="1" customFormat="1" ht="34.5" customHeight="1">
      <c r="A945" s="2">
        <v>943</v>
      </c>
      <c r="B945" s="2" t="str">
        <f>"35932021121818310368247"</f>
        <v>35932021121818310368247</v>
      </c>
      <c r="C945" s="2" t="s">
        <v>9</v>
      </c>
      <c r="D945" s="2" t="str">
        <f>"王鹏"</f>
        <v>王鹏</v>
      </c>
      <c r="E945" s="2" t="str">
        <f>"男"</f>
        <v>男</v>
      </c>
    </row>
    <row r="946" spans="1:5" s="1" customFormat="1" ht="34.5" customHeight="1">
      <c r="A946" s="2">
        <v>944</v>
      </c>
      <c r="B946" s="2" t="str">
        <f>"35932021121819075568254"</f>
        <v>35932021121819075568254</v>
      </c>
      <c r="C946" s="2" t="s">
        <v>9</v>
      </c>
      <c r="D946" s="2" t="str">
        <f>"陈玉杏"</f>
        <v>陈玉杏</v>
      </c>
      <c r="E946" s="2" t="str">
        <f aca="true" t="shared" si="30" ref="E946:E951">"女"</f>
        <v>女</v>
      </c>
    </row>
    <row r="947" spans="1:5" s="1" customFormat="1" ht="34.5" customHeight="1">
      <c r="A947" s="2">
        <v>945</v>
      </c>
      <c r="B947" s="2" t="str">
        <f>"35932021121820571568288"</f>
        <v>35932021121820571568288</v>
      </c>
      <c r="C947" s="2" t="s">
        <v>9</v>
      </c>
      <c r="D947" s="2" t="str">
        <f>"柯丹盈"</f>
        <v>柯丹盈</v>
      </c>
      <c r="E947" s="2" t="str">
        <f t="shared" si="30"/>
        <v>女</v>
      </c>
    </row>
    <row r="948" spans="1:5" s="1" customFormat="1" ht="34.5" customHeight="1">
      <c r="A948" s="2">
        <v>946</v>
      </c>
      <c r="B948" s="2" t="str">
        <f>"35932021121822193768307"</f>
        <v>35932021121822193768307</v>
      </c>
      <c r="C948" s="2" t="s">
        <v>9</v>
      </c>
      <c r="D948" s="2" t="str">
        <f>"邱丽"</f>
        <v>邱丽</v>
      </c>
      <c r="E948" s="2" t="str">
        <f t="shared" si="30"/>
        <v>女</v>
      </c>
    </row>
    <row r="949" spans="1:5" s="1" customFormat="1" ht="34.5" customHeight="1">
      <c r="A949" s="2">
        <v>947</v>
      </c>
      <c r="B949" s="2" t="str">
        <f>"35932021121822303868311"</f>
        <v>35932021121822303868311</v>
      </c>
      <c r="C949" s="2" t="s">
        <v>9</v>
      </c>
      <c r="D949" s="2" t="str">
        <f>"林晓格"</f>
        <v>林晓格</v>
      </c>
      <c r="E949" s="2" t="str">
        <f t="shared" si="30"/>
        <v>女</v>
      </c>
    </row>
    <row r="950" spans="1:5" s="1" customFormat="1" ht="34.5" customHeight="1">
      <c r="A950" s="2">
        <v>948</v>
      </c>
      <c r="B950" s="2" t="str">
        <f>"35932021121822384768314"</f>
        <v>35932021121822384768314</v>
      </c>
      <c r="C950" s="2" t="s">
        <v>9</v>
      </c>
      <c r="D950" s="2" t="str">
        <f>"吴加嘉"</f>
        <v>吴加嘉</v>
      </c>
      <c r="E950" s="2" t="str">
        <f t="shared" si="30"/>
        <v>女</v>
      </c>
    </row>
    <row r="951" spans="1:5" s="1" customFormat="1" ht="34.5" customHeight="1">
      <c r="A951" s="2">
        <v>949</v>
      </c>
      <c r="B951" s="2" t="str">
        <f>"35932021121902385368340"</f>
        <v>35932021121902385368340</v>
      </c>
      <c r="C951" s="2" t="s">
        <v>9</v>
      </c>
      <c r="D951" s="2" t="str">
        <f>"林薇薇"</f>
        <v>林薇薇</v>
      </c>
      <c r="E951" s="2" t="str">
        <f t="shared" si="30"/>
        <v>女</v>
      </c>
    </row>
    <row r="952" spans="1:5" s="1" customFormat="1" ht="34.5" customHeight="1">
      <c r="A952" s="2">
        <v>950</v>
      </c>
      <c r="B952" s="2" t="str">
        <f>"35932021121907564168342"</f>
        <v>35932021121907564168342</v>
      </c>
      <c r="C952" s="2" t="s">
        <v>9</v>
      </c>
      <c r="D952" s="2" t="str">
        <f>"谢柱成"</f>
        <v>谢柱成</v>
      </c>
      <c r="E952" s="2" t="str">
        <f>"男"</f>
        <v>男</v>
      </c>
    </row>
    <row r="953" spans="1:5" s="1" customFormat="1" ht="34.5" customHeight="1">
      <c r="A953" s="2">
        <v>951</v>
      </c>
      <c r="B953" s="2" t="str">
        <f>"35932021121908404868351"</f>
        <v>35932021121908404868351</v>
      </c>
      <c r="C953" s="2" t="s">
        <v>9</v>
      </c>
      <c r="D953" s="2" t="str">
        <f>"王丽金"</f>
        <v>王丽金</v>
      </c>
      <c r="E953" s="2" t="str">
        <f aca="true" t="shared" si="31" ref="E953:E961">"女"</f>
        <v>女</v>
      </c>
    </row>
    <row r="954" spans="1:5" s="1" customFormat="1" ht="34.5" customHeight="1">
      <c r="A954" s="2">
        <v>952</v>
      </c>
      <c r="B954" s="2" t="str">
        <f>"35932021121909370868369"</f>
        <v>35932021121909370868369</v>
      </c>
      <c r="C954" s="2" t="s">
        <v>9</v>
      </c>
      <c r="D954" s="2" t="str">
        <f>"马宁"</f>
        <v>马宁</v>
      </c>
      <c r="E954" s="2" t="str">
        <f t="shared" si="31"/>
        <v>女</v>
      </c>
    </row>
    <row r="955" spans="1:5" s="1" customFormat="1" ht="34.5" customHeight="1">
      <c r="A955" s="2">
        <v>953</v>
      </c>
      <c r="B955" s="2" t="str">
        <f>"35932021121910141268380"</f>
        <v>35932021121910141268380</v>
      </c>
      <c r="C955" s="2" t="s">
        <v>9</v>
      </c>
      <c r="D955" s="2" t="str">
        <f>"赵启靖"</f>
        <v>赵启靖</v>
      </c>
      <c r="E955" s="2" t="str">
        <f t="shared" si="31"/>
        <v>女</v>
      </c>
    </row>
    <row r="956" spans="1:5" s="1" customFormat="1" ht="34.5" customHeight="1">
      <c r="A956" s="2">
        <v>954</v>
      </c>
      <c r="B956" s="2" t="str">
        <f>"35932021121910545368411"</f>
        <v>35932021121910545368411</v>
      </c>
      <c r="C956" s="2" t="s">
        <v>9</v>
      </c>
      <c r="D956" s="2" t="str">
        <f>"符秀玲"</f>
        <v>符秀玲</v>
      </c>
      <c r="E956" s="2" t="str">
        <f t="shared" si="31"/>
        <v>女</v>
      </c>
    </row>
    <row r="957" spans="1:5" s="1" customFormat="1" ht="34.5" customHeight="1">
      <c r="A957" s="2">
        <v>955</v>
      </c>
      <c r="B957" s="2" t="str">
        <f>"35932021121911254068426"</f>
        <v>35932021121911254068426</v>
      </c>
      <c r="C957" s="2" t="s">
        <v>9</v>
      </c>
      <c r="D957" s="2" t="str">
        <f>"陈昱妃"</f>
        <v>陈昱妃</v>
      </c>
      <c r="E957" s="2" t="str">
        <f t="shared" si="31"/>
        <v>女</v>
      </c>
    </row>
    <row r="958" spans="1:5" s="1" customFormat="1" ht="34.5" customHeight="1">
      <c r="A958" s="2">
        <v>956</v>
      </c>
      <c r="B958" s="2" t="str">
        <f>"35932021121911260168427"</f>
        <v>35932021121911260168427</v>
      </c>
      <c r="C958" s="2" t="s">
        <v>9</v>
      </c>
      <c r="D958" s="2" t="str">
        <f>"苏海燕"</f>
        <v>苏海燕</v>
      </c>
      <c r="E958" s="2" t="str">
        <f t="shared" si="31"/>
        <v>女</v>
      </c>
    </row>
    <row r="959" spans="1:5" s="1" customFormat="1" ht="34.5" customHeight="1">
      <c r="A959" s="2">
        <v>957</v>
      </c>
      <c r="B959" s="2" t="str">
        <f>"35932021121912064268441"</f>
        <v>35932021121912064268441</v>
      </c>
      <c r="C959" s="2" t="s">
        <v>9</v>
      </c>
      <c r="D959" s="2" t="str">
        <f>"谢婷"</f>
        <v>谢婷</v>
      </c>
      <c r="E959" s="2" t="str">
        <f t="shared" si="31"/>
        <v>女</v>
      </c>
    </row>
    <row r="960" spans="1:5" s="1" customFormat="1" ht="34.5" customHeight="1">
      <c r="A960" s="2">
        <v>958</v>
      </c>
      <c r="B960" s="2" t="str">
        <f>"35932021121912192868449"</f>
        <v>35932021121912192868449</v>
      </c>
      <c r="C960" s="2" t="s">
        <v>9</v>
      </c>
      <c r="D960" s="2" t="str">
        <f>"郑海婷"</f>
        <v>郑海婷</v>
      </c>
      <c r="E960" s="2" t="str">
        <f t="shared" si="31"/>
        <v>女</v>
      </c>
    </row>
    <row r="961" spans="1:5" s="1" customFormat="1" ht="34.5" customHeight="1">
      <c r="A961" s="2">
        <v>959</v>
      </c>
      <c r="B961" s="2" t="str">
        <f>"35932021121913021768471"</f>
        <v>35932021121913021768471</v>
      </c>
      <c r="C961" s="2" t="s">
        <v>9</v>
      </c>
      <c r="D961" s="2" t="str">
        <f>"谢杏楼"</f>
        <v>谢杏楼</v>
      </c>
      <c r="E961" s="2" t="str">
        <f t="shared" si="31"/>
        <v>女</v>
      </c>
    </row>
    <row r="962" spans="1:5" s="1" customFormat="1" ht="34.5" customHeight="1">
      <c r="A962" s="2">
        <v>960</v>
      </c>
      <c r="B962" s="2" t="str">
        <f>"35932021121915214068545"</f>
        <v>35932021121915214068545</v>
      </c>
      <c r="C962" s="2" t="s">
        <v>9</v>
      </c>
      <c r="D962" s="2" t="str">
        <f>"洪明"</f>
        <v>洪明</v>
      </c>
      <c r="E962" s="2" t="str">
        <f>"男"</f>
        <v>男</v>
      </c>
    </row>
    <row r="963" spans="1:5" s="1" customFormat="1" ht="34.5" customHeight="1">
      <c r="A963" s="2">
        <v>961</v>
      </c>
      <c r="B963" s="2" t="str">
        <f>"35932021121915214068546"</f>
        <v>35932021121915214068546</v>
      </c>
      <c r="C963" s="2" t="s">
        <v>9</v>
      </c>
      <c r="D963" s="2" t="str">
        <f>"蔡笃宇"</f>
        <v>蔡笃宇</v>
      </c>
      <c r="E963" s="2" t="str">
        <f>"男"</f>
        <v>男</v>
      </c>
    </row>
    <row r="964" spans="1:5" s="1" customFormat="1" ht="34.5" customHeight="1">
      <c r="A964" s="2">
        <v>962</v>
      </c>
      <c r="B964" s="2" t="str">
        <f>"35932021121917243868630"</f>
        <v>35932021121917243868630</v>
      </c>
      <c r="C964" s="2" t="s">
        <v>9</v>
      </c>
      <c r="D964" s="2" t="str">
        <f>"王慧"</f>
        <v>王慧</v>
      </c>
      <c r="E964" s="2" t="str">
        <f>"女"</f>
        <v>女</v>
      </c>
    </row>
    <row r="965" spans="1:5" s="1" customFormat="1" ht="34.5" customHeight="1">
      <c r="A965" s="2">
        <v>963</v>
      </c>
      <c r="B965" s="2" t="str">
        <f>"35932021121917363768637"</f>
        <v>35932021121917363768637</v>
      </c>
      <c r="C965" s="2" t="s">
        <v>9</v>
      </c>
      <c r="D965" s="2" t="str">
        <f>"翁晓娟"</f>
        <v>翁晓娟</v>
      </c>
      <c r="E965" s="2" t="str">
        <f>"女"</f>
        <v>女</v>
      </c>
    </row>
    <row r="966" spans="1:5" s="1" customFormat="1" ht="34.5" customHeight="1">
      <c r="A966" s="2">
        <v>964</v>
      </c>
      <c r="B966" s="2" t="str">
        <f>"35932021121917382568639"</f>
        <v>35932021121917382568639</v>
      </c>
      <c r="C966" s="2" t="s">
        <v>9</v>
      </c>
      <c r="D966" s="2" t="str">
        <f>"周彤"</f>
        <v>周彤</v>
      </c>
      <c r="E966" s="2" t="str">
        <f>"女"</f>
        <v>女</v>
      </c>
    </row>
    <row r="967" spans="1:5" s="1" customFormat="1" ht="34.5" customHeight="1">
      <c r="A967" s="2">
        <v>965</v>
      </c>
      <c r="B967" s="2" t="str">
        <f>"35932021121918304468662"</f>
        <v>35932021121918304468662</v>
      </c>
      <c r="C967" s="2" t="s">
        <v>9</v>
      </c>
      <c r="D967" s="2" t="str">
        <f>"曾芳"</f>
        <v>曾芳</v>
      </c>
      <c r="E967" s="2" t="str">
        <f>"女"</f>
        <v>女</v>
      </c>
    </row>
    <row r="968" spans="1:5" s="1" customFormat="1" ht="34.5" customHeight="1">
      <c r="A968" s="2">
        <v>966</v>
      </c>
      <c r="B968" s="2" t="str">
        <f>"35932021121918321168664"</f>
        <v>35932021121918321168664</v>
      </c>
      <c r="C968" s="2" t="s">
        <v>9</v>
      </c>
      <c r="D968" s="2" t="str">
        <f>"黄宇龙"</f>
        <v>黄宇龙</v>
      </c>
      <c r="E968" s="2" t="str">
        <f>"男"</f>
        <v>男</v>
      </c>
    </row>
    <row r="969" spans="1:5" s="1" customFormat="1" ht="34.5" customHeight="1">
      <c r="A969" s="2">
        <v>967</v>
      </c>
      <c r="B969" s="2" t="str">
        <f>"35932021121918400668668"</f>
        <v>35932021121918400668668</v>
      </c>
      <c r="C969" s="2" t="s">
        <v>9</v>
      </c>
      <c r="D969" s="2" t="str">
        <f>"卢晓波"</f>
        <v>卢晓波</v>
      </c>
      <c r="E969" s="2" t="str">
        <f>"男"</f>
        <v>男</v>
      </c>
    </row>
    <row r="970" spans="1:5" s="1" customFormat="1" ht="34.5" customHeight="1">
      <c r="A970" s="2">
        <v>968</v>
      </c>
      <c r="B970" s="2" t="str">
        <f>"35932021121919210668691"</f>
        <v>35932021121919210668691</v>
      </c>
      <c r="C970" s="2" t="s">
        <v>9</v>
      </c>
      <c r="D970" s="2" t="str">
        <f>"陈静"</f>
        <v>陈静</v>
      </c>
      <c r="E970" s="2" t="str">
        <f>"女"</f>
        <v>女</v>
      </c>
    </row>
    <row r="971" spans="1:5" s="1" customFormat="1" ht="34.5" customHeight="1">
      <c r="A971" s="2">
        <v>969</v>
      </c>
      <c r="B971" s="2" t="str">
        <f>"35932021121919260768696"</f>
        <v>35932021121919260768696</v>
      </c>
      <c r="C971" s="2" t="s">
        <v>9</v>
      </c>
      <c r="D971" s="2" t="str">
        <f>"钱新元"</f>
        <v>钱新元</v>
      </c>
      <c r="E971" s="2" t="str">
        <f>"男"</f>
        <v>男</v>
      </c>
    </row>
    <row r="972" spans="1:5" s="1" customFormat="1" ht="34.5" customHeight="1">
      <c r="A972" s="2">
        <v>970</v>
      </c>
      <c r="B972" s="2" t="str">
        <f>"35932021121919374868708"</f>
        <v>35932021121919374868708</v>
      </c>
      <c r="C972" s="2" t="s">
        <v>9</v>
      </c>
      <c r="D972" s="2" t="str">
        <f>"王瑞珍"</f>
        <v>王瑞珍</v>
      </c>
      <c r="E972" s="2" t="str">
        <f aca="true" t="shared" si="32" ref="E972:E994">"女"</f>
        <v>女</v>
      </c>
    </row>
    <row r="973" spans="1:5" s="1" customFormat="1" ht="34.5" customHeight="1">
      <c r="A973" s="2">
        <v>971</v>
      </c>
      <c r="B973" s="2" t="str">
        <f>"35932021121920054268721"</f>
        <v>35932021121920054268721</v>
      </c>
      <c r="C973" s="2" t="s">
        <v>9</v>
      </c>
      <c r="D973" s="2" t="str">
        <f>"王茜"</f>
        <v>王茜</v>
      </c>
      <c r="E973" s="2" t="str">
        <f t="shared" si="32"/>
        <v>女</v>
      </c>
    </row>
    <row r="974" spans="1:5" s="1" customFormat="1" ht="34.5" customHeight="1">
      <c r="A974" s="2">
        <v>972</v>
      </c>
      <c r="B974" s="2" t="str">
        <f>"35932021121920181968734"</f>
        <v>35932021121920181968734</v>
      </c>
      <c r="C974" s="2" t="s">
        <v>9</v>
      </c>
      <c r="D974" s="2" t="str">
        <f>"邬贤苗"</f>
        <v>邬贤苗</v>
      </c>
      <c r="E974" s="2" t="str">
        <f t="shared" si="32"/>
        <v>女</v>
      </c>
    </row>
    <row r="975" spans="1:5" s="1" customFormat="1" ht="34.5" customHeight="1">
      <c r="A975" s="2">
        <v>973</v>
      </c>
      <c r="B975" s="2" t="str">
        <f>"35932021121920401068748"</f>
        <v>35932021121920401068748</v>
      </c>
      <c r="C975" s="2" t="s">
        <v>9</v>
      </c>
      <c r="D975" s="2" t="str">
        <f>"蒲玉"</f>
        <v>蒲玉</v>
      </c>
      <c r="E975" s="2" t="str">
        <f t="shared" si="32"/>
        <v>女</v>
      </c>
    </row>
    <row r="976" spans="1:5" s="1" customFormat="1" ht="34.5" customHeight="1">
      <c r="A976" s="2">
        <v>974</v>
      </c>
      <c r="B976" s="2" t="str">
        <f>"35932021121921164968771"</f>
        <v>35932021121921164968771</v>
      </c>
      <c r="C976" s="2" t="s">
        <v>9</v>
      </c>
      <c r="D976" s="2" t="str">
        <f>"冼淑云"</f>
        <v>冼淑云</v>
      </c>
      <c r="E976" s="2" t="str">
        <f t="shared" si="32"/>
        <v>女</v>
      </c>
    </row>
    <row r="977" spans="1:5" s="1" customFormat="1" ht="34.5" customHeight="1">
      <c r="A977" s="2">
        <v>975</v>
      </c>
      <c r="B977" s="2" t="str">
        <f>"35932021121921342368791"</f>
        <v>35932021121921342368791</v>
      </c>
      <c r="C977" s="2" t="s">
        <v>9</v>
      </c>
      <c r="D977" s="2" t="str">
        <f>"李美宁"</f>
        <v>李美宁</v>
      </c>
      <c r="E977" s="2" t="str">
        <f t="shared" si="32"/>
        <v>女</v>
      </c>
    </row>
    <row r="978" spans="1:5" s="1" customFormat="1" ht="34.5" customHeight="1">
      <c r="A978" s="2">
        <v>976</v>
      </c>
      <c r="B978" s="2" t="str">
        <f>"35932021121921361768793"</f>
        <v>35932021121921361768793</v>
      </c>
      <c r="C978" s="2" t="s">
        <v>9</v>
      </c>
      <c r="D978" s="2" t="str">
        <f>"陈欣圆"</f>
        <v>陈欣圆</v>
      </c>
      <c r="E978" s="2" t="str">
        <f t="shared" si="32"/>
        <v>女</v>
      </c>
    </row>
    <row r="979" spans="1:5" s="1" customFormat="1" ht="34.5" customHeight="1">
      <c r="A979" s="2">
        <v>977</v>
      </c>
      <c r="B979" s="2" t="str">
        <f>"35932021121921421168796"</f>
        <v>35932021121921421168796</v>
      </c>
      <c r="C979" s="2" t="s">
        <v>9</v>
      </c>
      <c r="D979" s="2" t="str">
        <f>"王红棉"</f>
        <v>王红棉</v>
      </c>
      <c r="E979" s="2" t="str">
        <f t="shared" si="32"/>
        <v>女</v>
      </c>
    </row>
    <row r="980" spans="1:5" s="1" customFormat="1" ht="34.5" customHeight="1">
      <c r="A980" s="2">
        <v>978</v>
      </c>
      <c r="B980" s="2" t="str">
        <f>"35932021121922025068815"</f>
        <v>35932021121922025068815</v>
      </c>
      <c r="C980" s="2" t="s">
        <v>9</v>
      </c>
      <c r="D980" s="2" t="str">
        <f>"陈旭"</f>
        <v>陈旭</v>
      </c>
      <c r="E980" s="2" t="str">
        <f t="shared" si="32"/>
        <v>女</v>
      </c>
    </row>
    <row r="981" spans="1:5" s="1" customFormat="1" ht="34.5" customHeight="1">
      <c r="A981" s="2">
        <v>979</v>
      </c>
      <c r="B981" s="2" t="str">
        <f>"35932021121922074168816"</f>
        <v>35932021121922074168816</v>
      </c>
      <c r="C981" s="2" t="s">
        <v>9</v>
      </c>
      <c r="D981" s="2" t="str">
        <f>"符冬梅"</f>
        <v>符冬梅</v>
      </c>
      <c r="E981" s="2" t="str">
        <f t="shared" si="32"/>
        <v>女</v>
      </c>
    </row>
    <row r="982" spans="1:5" s="1" customFormat="1" ht="34.5" customHeight="1">
      <c r="A982" s="2">
        <v>980</v>
      </c>
      <c r="B982" s="2" t="str">
        <f>"35932021121922185868823"</f>
        <v>35932021121922185868823</v>
      </c>
      <c r="C982" s="2" t="s">
        <v>9</v>
      </c>
      <c r="D982" s="2" t="str">
        <f>"赵海妹"</f>
        <v>赵海妹</v>
      </c>
      <c r="E982" s="2" t="str">
        <f t="shared" si="32"/>
        <v>女</v>
      </c>
    </row>
    <row r="983" spans="1:5" s="1" customFormat="1" ht="34.5" customHeight="1">
      <c r="A983" s="2">
        <v>981</v>
      </c>
      <c r="B983" s="2" t="str">
        <f>"35932021121922452368837"</f>
        <v>35932021121922452368837</v>
      </c>
      <c r="C983" s="2" t="s">
        <v>9</v>
      </c>
      <c r="D983" s="2" t="str">
        <f>"杨元妹"</f>
        <v>杨元妹</v>
      </c>
      <c r="E983" s="2" t="str">
        <f t="shared" si="32"/>
        <v>女</v>
      </c>
    </row>
    <row r="984" spans="1:5" s="1" customFormat="1" ht="34.5" customHeight="1">
      <c r="A984" s="2">
        <v>982</v>
      </c>
      <c r="B984" s="2" t="str">
        <f>"35932021121922560668841"</f>
        <v>35932021121922560668841</v>
      </c>
      <c r="C984" s="2" t="s">
        <v>9</v>
      </c>
      <c r="D984" s="2" t="str">
        <f>"郭小娜"</f>
        <v>郭小娜</v>
      </c>
      <c r="E984" s="2" t="str">
        <f t="shared" si="32"/>
        <v>女</v>
      </c>
    </row>
    <row r="985" spans="1:5" s="1" customFormat="1" ht="34.5" customHeight="1">
      <c r="A985" s="2">
        <v>983</v>
      </c>
      <c r="B985" s="2" t="str">
        <f>"35932021122000221068884"</f>
        <v>35932021122000221068884</v>
      </c>
      <c r="C985" s="2" t="s">
        <v>9</v>
      </c>
      <c r="D985" s="2" t="str">
        <f>"王迷尔"</f>
        <v>王迷尔</v>
      </c>
      <c r="E985" s="2" t="str">
        <f t="shared" si="32"/>
        <v>女</v>
      </c>
    </row>
    <row r="986" spans="1:5" s="1" customFormat="1" ht="34.5" customHeight="1">
      <c r="A986" s="2">
        <v>984</v>
      </c>
      <c r="B986" s="2" t="str">
        <f>"35932021122000333368887"</f>
        <v>35932021122000333368887</v>
      </c>
      <c r="C986" s="2" t="s">
        <v>9</v>
      </c>
      <c r="D986" s="2" t="str">
        <f>"郭静"</f>
        <v>郭静</v>
      </c>
      <c r="E986" s="2" t="str">
        <f t="shared" si="32"/>
        <v>女</v>
      </c>
    </row>
    <row r="987" spans="1:5" s="1" customFormat="1" ht="34.5" customHeight="1">
      <c r="A987" s="2">
        <v>985</v>
      </c>
      <c r="B987" s="2" t="str">
        <f>"35932021122000345268888"</f>
        <v>35932021122000345268888</v>
      </c>
      <c r="C987" s="2" t="s">
        <v>9</v>
      </c>
      <c r="D987" s="2" t="str">
        <f>"陈英"</f>
        <v>陈英</v>
      </c>
      <c r="E987" s="2" t="str">
        <f t="shared" si="32"/>
        <v>女</v>
      </c>
    </row>
    <row r="988" spans="1:5" s="1" customFormat="1" ht="34.5" customHeight="1">
      <c r="A988" s="2">
        <v>986</v>
      </c>
      <c r="B988" s="2" t="str">
        <f>"35932021122008262768915"</f>
        <v>35932021122008262768915</v>
      </c>
      <c r="C988" s="2" t="s">
        <v>9</v>
      </c>
      <c r="D988" s="2" t="str">
        <f>"王锡紫"</f>
        <v>王锡紫</v>
      </c>
      <c r="E988" s="2" t="str">
        <f t="shared" si="32"/>
        <v>女</v>
      </c>
    </row>
    <row r="989" spans="1:5" s="1" customFormat="1" ht="34.5" customHeight="1">
      <c r="A989" s="2">
        <v>987</v>
      </c>
      <c r="B989" s="2" t="str">
        <f>"35932021122009160168960"</f>
        <v>35932021122009160168960</v>
      </c>
      <c r="C989" s="2" t="s">
        <v>9</v>
      </c>
      <c r="D989" s="2" t="str">
        <f>"郭拓昂"</f>
        <v>郭拓昂</v>
      </c>
      <c r="E989" s="2" t="str">
        <f t="shared" si="32"/>
        <v>女</v>
      </c>
    </row>
    <row r="990" spans="1:5" s="1" customFormat="1" ht="34.5" customHeight="1">
      <c r="A990" s="2">
        <v>988</v>
      </c>
      <c r="B990" s="2" t="str">
        <f>"35932021122009344868981"</f>
        <v>35932021122009344868981</v>
      </c>
      <c r="C990" s="2" t="s">
        <v>9</v>
      </c>
      <c r="D990" s="2" t="str">
        <f>"邓蕾"</f>
        <v>邓蕾</v>
      </c>
      <c r="E990" s="2" t="str">
        <f t="shared" si="32"/>
        <v>女</v>
      </c>
    </row>
    <row r="991" spans="1:5" s="1" customFormat="1" ht="34.5" customHeight="1">
      <c r="A991" s="2">
        <v>989</v>
      </c>
      <c r="B991" s="2" t="str">
        <f>"35932021122009393468988"</f>
        <v>35932021122009393468988</v>
      </c>
      <c r="C991" s="2" t="s">
        <v>9</v>
      </c>
      <c r="D991" s="2" t="str">
        <f>"谢珍"</f>
        <v>谢珍</v>
      </c>
      <c r="E991" s="2" t="str">
        <f t="shared" si="32"/>
        <v>女</v>
      </c>
    </row>
    <row r="992" spans="1:5" s="1" customFormat="1" ht="34.5" customHeight="1">
      <c r="A992" s="2">
        <v>990</v>
      </c>
      <c r="B992" s="2" t="str">
        <f>"35932021122009432468994"</f>
        <v>35932021122009432468994</v>
      </c>
      <c r="C992" s="2" t="s">
        <v>9</v>
      </c>
      <c r="D992" s="2" t="str">
        <f>"张梦圆"</f>
        <v>张梦圆</v>
      </c>
      <c r="E992" s="2" t="str">
        <f t="shared" si="32"/>
        <v>女</v>
      </c>
    </row>
    <row r="993" spans="1:5" s="1" customFormat="1" ht="34.5" customHeight="1">
      <c r="A993" s="2">
        <v>991</v>
      </c>
      <c r="B993" s="2" t="str">
        <f>"35932021122010094269017"</f>
        <v>35932021122010094269017</v>
      </c>
      <c r="C993" s="2" t="s">
        <v>9</v>
      </c>
      <c r="D993" s="2" t="str">
        <f>"符文惠"</f>
        <v>符文惠</v>
      </c>
      <c r="E993" s="2" t="str">
        <f t="shared" si="32"/>
        <v>女</v>
      </c>
    </row>
    <row r="994" spans="1:5" s="1" customFormat="1" ht="34.5" customHeight="1">
      <c r="A994" s="2">
        <v>992</v>
      </c>
      <c r="B994" s="2" t="str">
        <f>"35932021122010114769019"</f>
        <v>35932021122010114769019</v>
      </c>
      <c r="C994" s="2" t="s">
        <v>9</v>
      </c>
      <c r="D994" s="2" t="str">
        <f>"王焕彩"</f>
        <v>王焕彩</v>
      </c>
      <c r="E994" s="2" t="str">
        <f t="shared" si="32"/>
        <v>女</v>
      </c>
    </row>
    <row r="995" spans="1:5" s="1" customFormat="1" ht="34.5" customHeight="1">
      <c r="A995" s="2">
        <v>993</v>
      </c>
      <c r="B995" s="2" t="str">
        <f>"35932021122010201969032"</f>
        <v>35932021122010201969032</v>
      </c>
      <c r="C995" s="2" t="s">
        <v>9</v>
      </c>
      <c r="D995" s="2" t="str">
        <f>"吴振"</f>
        <v>吴振</v>
      </c>
      <c r="E995" s="2" t="str">
        <f>"男"</f>
        <v>男</v>
      </c>
    </row>
    <row r="996" spans="1:5" s="1" customFormat="1" ht="34.5" customHeight="1">
      <c r="A996" s="2">
        <v>994</v>
      </c>
      <c r="B996" s="2" t="str">
        <f>"35932021122010291969048"</f>
        <v>35932021122010291969048</v>
      </c>
      <c r="C996" s="2" t="s">
        <v>9</v>
      </c>
      <c r="D996" s="2" t="str">
        <f>"吴燕丽"</f>
        <v>吴燕丽</v>
      </c>
      <c r="E996" s="2" t="str">
        <f aca="true" t="shared" si="33" ref="E996:E1002">"女"</f>
        <v>女</v>
      </c>
    </row>
    <row r="997" spans="1:5" s="1" customFormat="1" ht="34.5" customHeight="1">
      <c r="A997" s="2">
        <v>995</v>
      </c>
      <c r="B997" s="2" t="str">
        <f>"35932021122010365269056"</f>
        <v>35932021122010365269056</v>
      </c>
      <c r="C997" s="2" t="s">
        <v>9</v>
      </c>
      <c r="D997" s="2" t="str">
        <f>"王欢"</f>
        <v>王欢</v>
      </c>
      <c r="E997" s="2" t="str">
        <f t="shared" si="33"/>
        <v>女</v>
      </c>
    </row>
    <row r="998" spans="1:5" s="1" customFormat="1" ht="34.5" customHeight="1">
      <c r="A998" s="2">
        <v>996</v>
      </c>
      <c r="B998" s="2" t="str">
        <f>"35932021122010410569062"</f>
        <v>35932021122010410569062</v>
      </c>
      <c r="C998" s="2" t="s">
        <v>9</v>
      </c>
      <c r="D998" s="2" t="str">
        <f>"陶丹"</f>
        <v>陶丹</v>
      </c>
      <c r="E998" s="2" t="str">
        <f t="shared" si="33"/>
        <v>女</v>
      </c>
    </row>
    <row r="999" spans="1:5" s="1" customFormat="1" ht="34.5" customHeight="1">
      <c r="A999" s="2">
        <v>997</v>
      </c>
      <c r="B999" s="2" t="str">
        <f>"35932021122010421369065"</f>
        <v>35932021122010421369065</v>
      </c>
      <c r="C999" s="2" t="s">
        <v>9</v>
      </c>
      <c r="D999" s="2" t="str">
        <f>"林晓慧"</f>
        <v>林晓慧</v>
      </c>
      <c r="E999" s="2" t="str">
        <f t="shared" si="33"/>
        <v>女</v>
      </c>
    </row>
    <row r="1000" spans="1:5" s="1" customFormat="1" ht="34.5" customHeight="1">
      <c r="A1000" s="2">
        <v>998</v>
      </c>
      <c r="B1000" s="2" t="str">
        <f>"35932021122011095469098"</f>
        <v>35932021122011095469098</v>
      </c>
      <c r="C1000" s="2" t="s">
        <v>9</v>
      </c>
      <c r="D1000" s="2" t="str">
        <f>"周月"</f>
        <v>周月</v>
      </c>
      <c r="E1000" s="2" t="str">
        <f t="shared" si="33"/>
        <v>女</v>
      </c>
    </row>
    <row r="1001" spans="1:5" s="1" customFormat="1" ht="34.5" customHeight="1">
      <c r="A1001" s="2">
        <v>999</v>
      </c>
      <c r="B1001" s="2" t="str">
        <f>"35932021120710594864465"</f>
        <v>35932021120710594864465</v>
      </c>
      <c r="C1001" s="2" t="s">
        <v>10</v>
      </c>
      <c r="D1001" s="2" t="str">
        <f>"符春平"</f>
        <v>符春平</v>
      </c>
      <c r="E1001" s="2" t="str">
        <f t="shared" si="33"/>
        <v>女</v>
      </c>
    </row>
    <row r="1002" spans="1:5" s="1" customFormat="1" ht="34.5" customHeight="1">
      <c r="A1002" s="2">
        <v>1000</v>
      </c>
      <c r="B1002" s="2" t="str">
        <f>"35932021120711032064477"</f>
        <v>35932021120711032064477</v>
      </c>
      <c r="C1002" s="2" t="s">
        <v>10</v>
      </c>
      <c r="D1002" s="2" t="str">
        <f>"蒋婕 "</f>
        <v>蒋婕 </v>
      </c>
      <c r="E1002" s="2" t="str">
        <f t="shared" si="33"/>
        <v>女</v>
      </c>
    </row>
    <row r="1003" spans="1:5" s="1" customFormat="1" ht="34.5" customHeight="1">
      <c r="A1003" s="2">
        <v>1001</v>
      </c>
      <c r="B1003" s="2" t="str">
        <f>"35932021120711103164489"</f>
        <v>35932021120711103164489</v>
      </c>
      <c r="C1003" s="2" t="s">
        <v>10</v>
      </c>
      <c r="D1003" s="2" t="str">
        <f>"王世闳"</f>
        <v>王世闳</v>
      </c>
      <c r="E1003" s="2" t="str">
        <f>"男"</f>
        <v>男</v>
      </c>
    </row>
    <row r="1004" spans="1:5" s="1" customFormat="1" ht="34.5" customHeight="1">
      <c r="A1004" s="2">
        <v>1002</v>
      </c>
      <c r="B1004" s="2" t="str">
        <f>"35932021120711153764504"</f>
        <v>35932021120711153764504</v>
      </c>
      <c r="C1004" s="2" t="s">
        <v>10</v>
      </c>
      <c r="D1004" s="2" t="str">
        <f>"王转姑"</f>
        <v>王转姑</v>
      </c>
      <c r="E1004" s="2" t="str">
        <f>"女"</f>
        <v>女</v>
      </c>
    </row>
    <row r="1005" spans="1:5" s="1" customFormat="1" ht="34.5" customHeight="1">
      <c r="A1005" s="2">
        <v>1003</v>
      </c>
      <c r="B1005" s="2" t="str">
        <f>"35932021120711240364526"</f>
        <v>35932021120711240364526</v>
      </c>
      <c r="C1005" s="2" t="s">
        <v>10</v>
      </c>
      <c r="D1005" s="2" t="str">
        <f>"曾欣欣"</f>
        <v>曾欣欣</v>
      </c>
      <c r="E1005" s="2" t="str">
        <f>"女"</f>
        <v>女</v>
      </c>
    </row>
    <row r="1006" spans="1:5" s="1" customFormat="1" ht="34.5" customHeight="1">
      <c r="A1006" s="2">
        <v>1004</v>
      </c>
      <c r="B1006" s="2" t="str">
        <f>"35932021120711255064527"</f>
        <v>35932021120711255064527</v>
      </c>
      <c r="C1006" s="2" t="s">
        <v>10</v>
      </c>
      <c r="D1006" s="2" t="str">
        <f>"林树霞"</f>
        <v>林树霞</v>
      </c>
      <c r="E1006" s="2" t="str">
        <f>"女"</f>
        <v>女</v>
      </c>
    </row>
    <row r="1007" spans="1:5" s="1" customFormat="1" ht="34.5" customHeight="1">
      <c r="A1007" s="2">
        <v>1005</v>
      </c>
      <c r="B1007" s="2" t="str">
        <f>"35932021120711270264531"</f>
        <v>35932021120711270264531</v>
      </c>
      <c r="C1007" s="2" t="s">
        <v>10</v>
      </c>
      <c r="D1007" s="2" t="str">
        <f>"黄子成"</f>
        <v>黄子成</v>
      </c>
      <c r="E1007" s="2" t="str">
        <f>"男"</f>
        <v>男</v>
      </c>
    </row>
    <row r="1008" spans="1:5" s="1" customFormat="1" ht="34.5" customHeight="1">
      <c r="A1008" s="2">
        <v>1006</v>
      </c>
      <c r="B1008" s="2" t="str">
        <f>"35932021120711375264564"</f>
        <v>35932021120711375264564</v>
      </c>
      <c r="C1008" s="2" t="s">
        <v>10</v>
      </c>
      <c r="D1008" s="2" t="str">
        <f>"冼庆帝"</f>
        <v>冼庆帝</v>
      </c>
      <c r="E1008" s="2" t="str">
        <f>"男"</f>
        <v>男</v>
      </c>
    </row>
    <row r="1009" spans="1:5" s="1" customFormat="1" ht="34.5" customHeight="1">
      <c r="A1009" s="2">
        <v>1007</v>
      </c>
      <c r="B1009" s="2" t="str">
        <f>"35932021120711415464581"</f>
        <v>35932021120711415464581</v>
      </c>
      <c r="C1009" s="2" t="s">
        <v>10</v>
      </c>
      <c r="D1009" s="2" t="str">
        <f>"韩万强"</f>
        <v>韩万强</v>
      </c>
      <c r="E1009" s="2" t="str">
        <f>"男"</f>
        <v>男</v>
      </c>
    </row>
    <row r="1010" spans="1:5" s="1" customFormat="1" ht="34.5" customHeight="1">
      <c r="A1010" s="2">
        <v>1008</v>
      </c>
      <c r="B1010" s="2" t="str">
        <f>"35932021120711483864596"</f>
        <v>35932021120711483864596</v>
      </c>
      <c r="C1010" s="2" t="s">
        <v>10</v>
      </c>
      <c r="D1010" s="2" t="str">
        <f>"任世丽"</f>
        <v>任世丽</v>
      </c>
      <c r="E1010" s="2" t="str">
        <f>"女"</f>
        <v>女</v>
      </c>
    </row>
    <row r="1011" spans="1:5" s="1" customFormat="1" ht="34.5" customHeight="1">
      <c r="A1011" s="2">
        <v>1009</v>
      </c>
      <c r="B1011" s="2" t="str">
        <f>"35932021120711505364605"</f>
        <v>35932021120711505364605</v>
      </c>
      <c r="C1011" s="2" t="s">
        <v>10</v>
      </c>
      <c r="D1011" s="2" t="str">
        <f>"韩谢英"</f>
        <v>韩谢英</v>
      </c>
      <c r="E1011" s="2" t="str">
        <f>"女"</f>
        <v>女</v>
      </c>
    </row>
    <row r="1012" spans="1:5" s="1" customFormat="1" ht="34.5" customHeight="1">
      <c r="A1012" s="2">
        <v>1010</v>
      </c>
      <c r="B1012" s="2" t="str">
        <f>"35932021120711553264616"</f>
        <v>35932021120711553264616</v>
      </c>
      <c r="C1012" s="2" t="s">
        <v>10</v>
      </c>
      <c r="D1012" s="2" t="str">
        <f>"王丽"</f>
        <v>王丽</v>
      </c>
      <c r="E1012" s="2" t="str">
        <f>"女"</f>
        <v>女</v>
      </c>
    </row>
    <row r="1013" spans="1:5" s="1" customFormat="1" ht="34.5" customHeight="1">
      <c r="A1013" s="2">
        <v>1011</v>
      </c>
      <c r="B1013" s="2" t="str">
        <f>"35932021120712002564627"</f>
        <v>35932021120712002564627</v>
      </c>
      <c r="C1013" s="2" t="s">
        <v>10</v>
      </c>
      <c r="D1013" s="2" t="str">
        <f>"黄秋"</f>
        <v>黄秋</v>
      </c>
      <c r="E1013" s="2" t="str">
        <f>"女"</f>
        <v>女</v>
      </c>
    </row>
    <row r="1014" spans="1:5" s="1" customFormat="1" ht="34.5" customHeight="1">
      <c r="A1014" s="2">
        <v>1012</v>
      </c>
      <c r="B1014" s="2" t="str">
        <f>"35932021120712022964630"</f>
        <v>35932021120712022964630</v>
      </c>
      <c r="C1014" s="2" t="s">
        <v>10</v>
      </c>
      <c r="D1014" s="2" t="str">
        <f>"李奇阳"</f>
        <v>李奇阳</v>
      </c>
      <c r="E1014" s="2" t="str">
        <f>"男"</f>
        <v>男</v>
      </c>
    </row>
    <row r="1015" spans="1:5" s="1" customFormat="1" ht="34.5" customHeight="1">
      <c r="A1015" s="2">
        <v>1013</v>
      </c>
      <c r="B1015" s="2" t="str">
        <f>"35932021120712044464634"</f>
        <v>35932021120712044464634</v>
      </c>
      <c r="C1015" s="2" t="s">
        <v>10</v>
      </c>
      <c r="D1015" s="2" t="str">
        <f>"何思颖"</f>
        <v>何思颖</v>
      </c>
      <c r="E1015" s="2" t="str">
        <f>"女"</f>
        <v>女</v>
      </c>
    </row>
    <row r="1016" spans="1:5" s="1" customFormat="1" ht="34.5" customHeight="1">
      <c r="A1016" s="2">
        <v>1014</v>
      </c>
      <c r="B1016" s="2" t="str">
        <f>"35932021120712072064640"</f>
        <v>35932021120712072064640</v>
      </c>
      <c r="C1016" s="2" t="s">
        <v>10</v>
      </c>
      <c r="D1016" s="2" t="str">
        <f>"李泉柏"</f>
        <v>李泉柏</v>
      </c>
      <c r="E1016" s="2" t="str">
        <f>"男"</f>
        <v>男</v>
      </c>
    </row>
    <row r="1017" spans="1:5" s="1" customFormat="1" ht="34.5" customHeight="1">
      <c r="A1017" s="2">
        <v>1015</v>
      </c>
      <c r="B1017" s="2" t="str">
        <f>"35932021120712102764643"</f>
        <v>35932021120712102764643</v>
      </c>
      <c r="C1017" s="2" t="s">
        <v>10</v>
      </c>
      <c r="D1017" s="2" t="str">
        <f>"洪梅"</f>
        <v>洪梅</v>
      </c>
      <c r="E1017" s="2" t="str">
        <f>"女"</f>
        <v>女</v>
      </c>
    </row>
    <row r="1018" spans="1:5" s="1" customFormat="1" ht="34.5" customHeight="1">
      <c r="A1018" s="2">
        <v>1016</v>
      </c>
      <c r="B1018" s="2" t="str">
        <f>"35932021120712194164658"</f>
        <v>35932021120712194164658</v>
      </c>
      <c r="C1018" s="2" t="s">
        <v>10</v>
      </c>
      <c r="D1018" s="2" t="str">
        <f>"黄华楠"</f>
        <v>黄华楠</v>
      </c>
      <c r="E1018" s="2" t="str">
        <f>"女"</f>
        <v>女</v>
      </c>
    </row>
    <row r="1019" spans="1:5" s="1" customFormat="1" ht="34.5" customHeight="1">
      <c r="A1019" s="2">
        <v>1017</v>
      </c>
      <c r="B1019" s="2" t="str">
        <f>"35932021120712272164673"</f>
        <v>35932021120712272164673</v>
      </c>
      <c r="C1019" s="2" t="s">
        <v>10</v>
      </c>
      <c r="D1019" s="2" t="str">
        <f>"杨裕豪"</f>
        <v>杨裕豪</v>
      </c>
      <c r="E1019" s="2" t="str">
        <f>"男"</f>
        <v>男</v>
      </c>
    </row>
    <row r="1020" spans="1:5" s="1" customFormat="1" ht="34.5" customHeight="1">
      <c r="A1020" s="2">
        <v>1018</v>
      </c>
      <c r="B1020" s="2" t="str">
        <f>"35932021120712342064685"</f>
        <v>35932021120712342064685</v>
      </c>
      <c r="C1020" s="2" t="s">
        <v>10</v>
      </c>
      <c r="D1020" s="2" t="str">
        <f>"董嬉娉"</f>
        <v>董嬉娉</v>
      </c>
      <c r="E1020" s="2" t="str">
        <f>"女"</f>
        <v>女</v>
      </c>
    </row>
    <row r="1021" spans="1:5" s="1" customFormat="1" ht="34.5" customHeight="1">
      <c r="A1021" s="2">
        <v>1019</v>
      </c>
      <c r="B1021" s="2" t="str">
        <f>"35932021120712362264686"</f>
        <v>35932021120712362264686</v>
      </c>
      <c r="C1021" s="2" t="s">
        <v>10</v>
      </c>
      <c r="D1021" s="2" t="str">
        <f>"梁其娇"</f>
        <v>梁其娇</v>
      </c>
      <c r="E1021" s="2" t="str">
        <f>"女"</f>
        <v>女</v>
      </c>
    </row>
    <row r="1022" spans="1:5" s="1" customFormat="1" ht="34.5" customHeight="1">
      <c r="A1022" s="2">
        <v>1020</v>
      </c>
      <c r="B1022" s="2" t="str">
        <f>"35932021120712482664703"</f>
        <v>35932021120712482664703</v>
      </c>
      <c r="C1022" s="2" t="s">
        <v>10</v>
      </c>
      <c r="D1022" s="2" t="str">
        <f>"吴秋露"</f>
        <v>吴秋露</v>
      </c>
      <c r="E1022" s="2" t="str">
        <f>"女"</f>
        <v>女</v>
      </c>
    </row>
    <row r="1023" spans="1:5" s="1" customFormat="1" ht="34.5" customHeight="1">
      <c r="A1023" s="2">
        <v>1021</v>
      </c>
      <c r="B1023" s="2" t="str">
        <f>"35932021120712554964715"</f>
        <v>35932021120712554964715</v>
      </c>
      <c r="C1023" s="2" t="s">
        <v>10</v>
      </c>
      <c r="D1023" s="2" t="str">
        <f>"张开菊"</f>
        <v>张开菊</v>
      </c>
      <c r="E1023" s="2" t="str">
        <f>"女"</f>
        <v>女</v>
      </c>
    </row>
    <row r="1024" spans="1:5" s="1" customFormat="1" ht="34.5" customHeight="1">
      <c r="A1024" s="2">
        <v>1022</v>
      </c>
      <c r="B1024" s="2" t="str">
        <f>"35932021120713115564739"</f>
        <v>35932021120713115564739</v>
      </c>
      <c r="C1024" s="2" t="s">
        <v>10</v>
      </c>
      <c r="D1024" s="2" t="str">
        <f>"谭悦"</f>
        <v>谭悦</v>
      </c>
      <c r="E1024" s="2" t="str">
        <f>"女"</f>
        <v>女</v>
      </c>
    </row>
    <row r="1025" spans="1:5" s="1" customFormat="1" ht="34.5" customHeight="1">
      <c r="A1025" s="2">
        <v>1023</v>
      </c>
      <c r="B1025" s="2" t="str">
        <f>"35932021120713151164745"</f>
        <v>35932021120713151164745</v>
      </c>
      <c r="C1025" s="2" t="s">
        <v>10</v>
      </c>
      <c r="D1025" s="2" t="str">
        <f>"刘教伟"</f>
        <v>刘教伟</v>
      </c>
      <c r="E1025" s="2" t="str">
        <f>"男"</f>
        <v>男</v>
      </c>
    </row>
    <row r="1026" spans="1:5" s="1" customFormat="1" ht="34.5" customHeight="1">
      <c r="A1026" s="2">
        <v>1024</v>
      </c>
      <c r="B1026" s="2" t="str">
        <f>"35932021120713250164758"</f>
        <v>35932021120713250164758</v>
      </c>
      <c r="C1026" s="2" t="s">
        <v>10</v>
      </c>
      <c r="D1026" s="2" t="str">
        <f>"陈章叶"</f>
        <v>陈章叶</v>
      </c>
      <c r="E1026" s="2" t="str">
        <f>"女"</f>
        <v>女</v>
      </c>
    </row>
    <row r="1027" spans="1:5" s="1" customFormat="1" ht="34.5" customHeight="1">
      <c r="A1027" s="2">
        <v>1025</v>
      </c>
      <c r="B1027" s="2" t="str">
        <f>"35932021120713433864776"</f>
        <v>35932021120713433864776</v>
      </c>
      <c r="C1027" s="2" t="s">
        <v>10</v>
      </c>
      <c r="D1027" s="2" t="str">
        <f>"王春芳"</f>
        <v>王春芳</v>
      </c>
      <c r="E1027" s="2" t="str">
        <f>"女"</f>
        <v>女</v>
      </c>
    </row>
    <row r="1028" spans="1:5" s="1" customFormat="1" ht="34.5" customHeight="1">
      <c r="A1028" s="2">
        <v>1026</v>
      </c>
      <c r="B1028" s="2" t="str">
        <f>"35932021120713530864795"</f>
        <v>35932021120713530864795</v>
      </c>
      <c r="C1028" s="2" t="s">
        <v>10</v>
      </c>
      <c r="D1028" s="2" t="str">
        <f>"麦明珍"</f>
        <v>麦明珍</v>
      </c>
      <c r="E1028" s="2" t="str">
        <f>"女"</f>
        <v>女</v>
      </c>
    </row>
    <row r="1029" spans="1:5" s="1" customFormat="1" ht="34.5" customHeight="1">
      <c r="A1029" s="2">
        <v>1027</v>
      </c>
      <c r="B1029" s="2" t="str">
        <f>"35932021120713573964803"</f>
        <v>35932021120713573964803</v>
      </c>
      <c r="C1029" s="2" t="s">
        <v>10</v>
      </c>
      <c r="D1029" s="2" t="str">
        <f>"蒙韫怡"</f>
        <v>蒙韫怡</v>
      </c>
      <c r="E1029" s="2" t="str">
        <f>"女"</f>
        <v>女</v>
      </c>
    </row>
    <row r="1030" spans="1:5" s="1" customFormat="1" ht="34.5" customHeight="1">
      <c r="A1030" s="2">
        <v>1028</v>
      </c>
      <c r="B1030" s="2" t="str">
        <f>"35932021120714070664822"</f>
        <v>35932021120714070664822</v>
      </c>
      <c r="C1030" s="2" t="s">
        <v>10</v>
      </c>
      <c r="D1030" s="2" t="str">
        <f>"胡杨劼"</f>
        <v>胡杨劼</v>
      </c>
      <c r="E1030" s="2" t="str">
        <f>"男"</f>
        <v>男</v>
      </c>
    </row>
    <row r="1031" spans="1:5" s="1" customFormat="1" ht="34.5" customHeight="1">
      <c r="A1031" s="2">
        <v>1029</v>
      </c>
      <c r="B1031" s="2" t="str">
        <f>"35932021120714155964841"</f>
        <v>35932021120714155964841</v>
      </c>
      <c r="C1031" s="2" t="s">
        <v>10</v>
      </c>
      <c r="D1031" s="2" t="str">
        <f>"吴玫坛"</f>
        <v>吴玫坛</v>
      </c>
      <c r="E1031" s="2" t="str">
        <f>"女"</f>
        <v>女</v>
      </c>
    </row>
    <row r="1032" spans="1:5" s="1" customFormat="1" ht="34.5" customHeight="1">
      <c r="A1032" s="2">
        <v>1030</v>
      </c>
      <c r="B1032" s="2" t="str">
        <f>"35932021120714204564851"</f>
        <v>35932021120714204564851</v>
      </c>
      <c r="C1032" s="2" t="s">
        <v>10</v>
      </c>
      <c r="D1032" s="2" t="str">
        <f>"陈景峰"</f>
        <v>陈景峰</v>
      </c>
      <c r="E1032" s="2" t="str">
        <f>"男"</f>
        <v>男</v>
      </c>
    </row>
    <row r="1033" spans="1:5" s="1" customFormat="1" ht="34.5" customHeight="1">
      <c r="A1033" s="2">
        <v>1031</v>
      </c>
      <c r="B1033" s="2" t="str">
        <f>"35932021120714212764852"</f>
        <v>35932021120714212764852</v>
      </c>
      <c r="C1033" s="2" t="s">
        <v>10</v>
      </c>
      <c r="D1033" s="2" t="str">
        <f>"林忠邦"</f>
        <v>林忠邦</v>
      </c>
      <c r="E1033" s="2" t="str">
        <f>"男"</f>
        <v>男</v>
      </c>
    </row>
    <row r="1034" spans="1:5" s="1" customFormat="1" ht="34.5" customHeight="1">
      <c r="A1034" s="2">
        <v>1032</v>
      </c>
      <c r="B1034" s="2" t="str">
        <f>"35932021120714242864857"</f>
        <v>35932021120714242864857</v>
      </c>
      <c r="C1034" s="2" t="s">
        <v>10</v>
      </c>
      <c r="D1034" s="2" t="str">
        <f>"程清"</f>
        <v>程清</v>
      </c>
      <c r="E1034" s="2" t="str">
        <f aca="true" t="shared" si="34" ref="E1034:E1040">"女"</f>
        <v>女</v>
      </c>
    </row>
    <row r="1035" spans="1:5" s="1" customFormat="1" ht="34.5" customHeight="1">
      <c r="A1035" s="2">
        <v>1033</v>
      </c>
      <c r="B1035" s="2" t="str">
        <f>"35932021120714244364859"</f>
        <v>35932021120714244364859</v>
      </c>
      <c r="C1035" s="2" t="s">
        <v>10</v>
      </c>
      <c r="D1035" s="2" t="str">
        <f>"李青萍"</f>
        <v>李青萍</v>
      </c>
      <c r="E1035" s="2" t="str">
        <f t="shared" si="34"/>
        <v>女</v>
      </c>
    </row>
    <row r="1036" spans="1:5" s="1" customFormat="1" ht="34.5" customHeight="1">
      <c r="A1036" s="2">
        <v>1034</v>
      </c>
      <c r="B1036" s="2" t="str">
        <f>"35932021120714244864860"</f>
        <v>35932021120714244864860</v>
      </c>
      <c r="C1036" s="2" t="s">
        <v>10</v>
      </c>
      <c r="D1036" s="2" t="str">
        <f>"高昌梅"</f>
        <v>高昌梅</v>
      </c>
      <c r="E1036" s="2" t="str">
        <f t="shared" si="34"/>
        <v>女</v>
      </c>
    </row>
    <row r="1037" spans="1:5" s="1" customFormat="1" ht="34.5" customHeight="1">
      <c r="A1037" s="2">
        <v>1035</v>
      </c>
      <c r="B1037" s="2" t="str">
        <f>"35932021120714273064866"</f>
        <v>35932021120714273064866</v>
      </c>
      <c r="C1037" s="2" t="s">
        <v>10</v>
      </c>
      <c r="D1037" s="2" t="str">
        <f>"吴雨昕"</f>
        <v>吴雨昕</v>
      </c>
      <c r="E1037" s="2" t="str">
        <f t="shared" si="34"/>
        <v>女</v>
      </c>
    </row>
    <row r="1038" spans="1:5" s="1" customFormat="1" ht="34.5" customHeight="1">
      <c r="A1038" s="2">
        <v>1036</v>
      </c>
      <c r="B1038" s="2" t="str">
        <f>"35932021120714285964869"</f>
        <v>35932021120714285964869</v>
      </c>
      <c r="C1038" s="2" t="s">
        <v>10</v>
      </c>
      <c r="D1038" s="2" t="str">
        <f>"吉才晶"</f>
        <v>吉才晶</v>
      </c>
      <c r="E1038" s="2" t="str">
        <f t="shared" si="34"/>
        <v>女</v>
      </c>
    </row>
    <row r="1039" spans="1:5" s="1" customFormat="1" ht="34.5" customHeight="1">
      <c r="A1039" s="2">
        <v>1037</v>
      </c>
      <c r="B1039" s="2" t="str">
        <f>"35932021120714295764872"</f>
        <v>35932021120714295764872</v>
      </c>
      <c r="C1039" s="2" t="s">
        <v>10</v>
      </c>
      <c r="D1039" s="2" t="str">
        <f>"陈海涯"</f>
        <v>陈海涯</v>
      </c>
      <c r="E1039" s="2" t="str">
        <f t="shared" si="34"/>
        <v>女</v>
      </c>
    </row>
    <row r="1040" spans="1:5" s="1" customFormat="1" ht="34.5" customHeight="1">
      <c r="A1040" s="2">
        <v>1038</v>
      </c>
      <c r="B1040" s="2" t="str">
        <f>"35932021120714300264873"</f>
        <v>35932021120714300264873</v>
      </c>
      <c r="C1040" s="2" t="s">
        <v>10</v>
      </c>
      <c r="D1040" s="2" t="str">
        <f>"陈子衿"</f>
        <v>陈子衿</v>
      </c>
      <c r="E1040" s="2" t="str">
        <f t="shared" si="34"/>
        <v>女</v>
      </c>
    </row>
    <row r="1041" spans="1:5" s="1" customFormat="1" ht="34.5" customHeight="1">
      <c r="A1041" s="2">
        <v>1039</v>
      </c>
      <c r="B1041" s="2" t="str">
        <f>"35932021120714364664887"</f>
        <v>35932021120714364664887</v>
      </c>
      <c r="C1041" s="2" t="s">
        <v>10</v>
      </c>
      <c r="D1041" s="2" t="str">
        <f>"肖万立"</f>
        <v>肖万立</v>
      </c>
      <c r="E1041" s="2" t="str">
        <f>"男"</f>
        <v>男</v>
      </c>
    </row>
    <row r="1042" spans="1:5" s="1" customFormat="1" ht="34.5" customHeight="1">
      <c r="A1042" s="2">
        <v>1040</v>
      </c>
      <c r="B1042" s="2" t="str">
        <f>"35932021120714420164896"</f>
        <v>35932021120714420164896</v>
      </c>
      <c r="C1042" s="2" t="s">
        <v>10</v>
      </c>
      <c r="D1042" s="2" t="str">
        <f>"陈焕樟"</f>
        <v>陈焕樟</v>
      </c>
      <c r="E1042" s="2" t="str">
        <f>"男"</f>
        <v>男</v>
      </c>
    </row>
    <row r="1043" spans="1:5" s="1" customFormat="1" ht="34.5" customHeight="1">
      <c r="A1043" s="2">
        <v>1041</v>
      </c>
      <c r="B1043" s="2" t="str">
        <f>"35932021120714425264899"</f>
        <v>35932021120714425264899</v>
      </c>
      <c r="C1043" s="2" t="s">
        <v>10</v>
      </c>
      <c r="D1043" s="2" t="str">
        <f>"李紫嫣"</f>
        <v>李紫嫣</v>
      </c>
      <c r="E1043" s="2" t="str">
        <f aca="true" t="shared" si="35" ref="E1043:E1068">"女"</f>
        <v>女</v>
      </c>
    </row>
    <row r="1044" spans="1:5" s="1" customFormat="1" ht="34.5" customHeight="1">
      <c r="A1044" s="2">
        <v>1042</v>
      </c>
      <c r="B1044" s="2" t="str">
        <f>"35932021120714425464900"</f>
        <v>35932021120714425464900</v>
      </c>
      <c r="C1044" s="2" t="s">
        <v>10</v>
      </c>
      <c r="D1044" s="2" t="str">
        <f>"池彦虹"</f>
        <v>池彦虹</v>
      </c>
      <c r="E1044" s="2" t="str">
        <f t="shared" si="35"/>
        <v>女</v>
      </c>
    </row>
    <row r="1045" spans="1:5" s="1" customFormat="1" ht="34.5" customHeight="1">
      <c r="A1045" s="2">
        <v>1043</v>
      </c>
      <c r="B1045" s="2" t="str">
        <f>"35932021120714450364906"</f>
        <v>35932021120714450364906</v>
      </c>
      <c r="C1045" s="2" t="s">
        <v>10</v>
      </c>
      <c r="D1045" s="2" t="str">
        <f>"段林美"</f>
        <v>段林美</v>
      </c>
      <c r="E1045" s="2" t="str">
        <f t="shared" si="35"/>
        <v>女</v>
      </c>
    </row>
    <row r="1046" spans="1:5" s="1" customFormat="1" ht="34.5" customHeight="1">
      <c r="A1046" s="2">
        <v>1044</v>
      </c>
      <c r="B1046" s="2" t="str">
        <f>"35932021120714510164922"</f>
        <v>35932021120714510164922</v>
      </c>
      <c r="C1046" s="2" t="s">
        <v>10</v>
      </c>
      <c r="D1046" s="2" t="str">
        <f>"杨泽丽"</f>
        <v>杨泽丽</v>
      </c>
      <c r="E1046" s="2" t="str">
        <f t="shared" si="35"/>
        <v>女</v>
      </c>
    </row>
    <row r="1047" spans="1:5" s="1" customFormat="1" ht="34.5" customHeight="1">
      <c r="A1047" s="2">
        <v>1045</v>
      </c>
      <c r="B1047" s="2" t="str">
        <f>"35932021120714535264929"</f>
        <v>35932021120714535264929</v>
      </c>
      <c r="C1047" s="2" t="s">
        <v>10</v>
      </c>
      <c r="D1047" s="2" t="str">
        <f>"张馨月"</f>
        <v>张馨月</v>
      </c>
      <c r="E1047" s="2" t="str">
        <f t="shared" si="35"/>
        <v>女</v>
      </c>
    </row>
    <row r="1048" spans="1:5" s="1" customFormat="1" ht="34.5" customHeight="1">
      <c r="A1048" s="2">
        <v>1046</v>
      </c>
      <c r="B1048" s="2" t="str">
        <f>"35932021120714545664932"</f>
        <v>35932021120714545664932</v>
      </c>
      <c r="C1048" s="2" t="s">
        <v>10</v>
      </c>
      <c r="D1048" s="2" t="str">
        <f>"洪雅婷"</f>
        <v>洪雅婷</v>
      </c>
      <c r="E1048" s="2" t="str">
        <f t="shared" si="35"/>
        <v>女</v>
      </c>
    </row>
    <row r="1049" spans="1:5" s="1" customFormat="1" ht="34.5" customHeight="1">
      <c r="A1049" s="2">
        <v>1047</v>
      </c>
      <c r="B1049" s="2" t="str">
        <f>"35932021120714583764947"</f>
        <v>35932021120714583764947</v>
      </c>
      <c r="C1049" s="2" t="s">
        <v>10</v>
      </c>
      <c r="D1049" s="2" t="str">
        <f>"曾川"</f>
        <v>曾川</v>
      </c>
      <c r="E1049" s="2" t="str">
        <f t="shared" si="35"/>
        <v>女</v>
      </c>
    </row>
    <row r="1050" spans="1:5" s="1" customFormat="1" ht="34.5" customHeight="1">
      <c r="A1050" s="2">
        <v>1048</v>
      </c>
      <c r="B1050" s="2" t="str">
        <f>"35932021120715001164955"</f>
        <v>35932021120715001164955</v>
      </c>
      <c r="C1050" s="2" t="s">
        <v>10</v>
      </c>
      <c r="D1050" s="2" t="str">
        <f>"李欣"</f>
        <v>李欣</v>
      </c>
      <c r="E1050" s="2" t="str">
        <f t="shared" si="35"/>
        <v>女</v>
      </c>
    </row>
    <row r="1051" spans="1:5" s="1" customFormat="1" ht="34.5" customHeight="1">
      <c r="A1051" s="2">
        <v>1049</v>
      </c>
      <c r="B1051" s="2" t="str">
        <f>"35932021120715121864984"</f>
        <v>35932021120715121864984</v>
      </c>
      <c r="C1051" s="2" t="s">
        <v>10</v>
      </c>
      <c r="D1051" s="2" t="str">
        <f>"付琪"</f>
        <v>付琪</v>
      </c>
      <c r="E1051" s="2" t="str">
        <f t="shared" si="35"/>
        <v>女</v>
      </c>
    </row>
    <row r="1052" spans="1:5" s="1" customFormat="1" ht="34.5" customHeight="1">
      <c r="A1052" s="2">
        <v>1050</v>
      </c>
      <c r="B1052" s="2" t="str">
        <f>"35932021120715180965009"</f>
        <v>35932021120715180965009</v>
      </c>
      <c r="C1052" s="2" t="s">
        <v>10</v>
      </c>
      <c r="D1052" s="2" t="str">
        <f>"徐木交"</f>
        <v>徐木交</v>
      </c>
      <c r="E1052" s="2" t="str">
        <f t="shared" si="35"/>
        <v>女</v>
      </c>
    </row>
    <row r="1053" spans="1:5" s="1" customFormat="1" ht="34.5" customHeight="1">
      <c r="A1053" s="2">
        <v>1051</v>
      </c>
      <c r="B1053" s="2" t="str">
        <f>"35932021120715221865015"</f>
        <v>35932021120715221865015</v>
      </c>
      <c r="C1053" s="2" t="s">
        <v>10</v>
      </c>
      <c r="D1053" s="2" t="str">
        <f>"韩月波"</f>
        <v>韩月波</v>
      </c>
      <c r="E1053" s="2" t="str">
        <f t="shared" si="35"/>
        <v>女</v>
      </c>
    </row>
    <row r="1054" spans="1:5" s="1" customFormat="1" ht="34.5" customHeight="1">
      <c r="A1054" s="2">
        <v>1052</v>
      </c>
      <c r="B1054" s="2" t="str">
        <f>"35932021120715241565022"</f>
        <v>35932021120715241565022</v>
      </c>
      <c r="C1054" s="2" t="s">
        <v>10</v>
      </c>
      <c r="D1054" s="2" t="str">
        <f>"吴昃姝"</f>
        <v>吴昃姝</v>
      </c>
      <c r="E1054" s="2" t="str">
        <f t="shared" si="35"/>
        <v>女</v>
      </c>
    </row>
    <row r="1055" spans="1:5" s="1" customFormat="1" ht="34.5" customHeight="1">
      <c r="A1055" s="2">
        <v>1053</v>
      </c>
      <c r="B1055" s="2" t="str">
        <f>"35932021120715264565031"</f>
        <v>35932021120715264565031</v>
      </c>
      <c r="C1055" s="2" t="s">
        <v>10</v>
      </c>
      <c r="D1055" s="2" t="str">
        <f>"符小丹"</f>
        <v>符小丹</v>
      </c>
      <c r="E1055" s="2" t="str">
        <f t="shared" si="35"/>
        <v>女</v>
      </c>
    </row>
    <row r="1056" spans="1:5" s="1" customFormat="1" ht="34.5" customHeight="1">
      <c r="A1056" s="2">
        <v>1054</v>
      </c>
      <c r="B1056" s="2" t="str">
        <f>"35932021120715281765033"</f>
        <v>35932021120715281765033</v>
      </c>
      <c r="C1056" s="2" t="s">
        <v>10</v>
      </c>
      <c r="D1056" s="2" t="str">
        <f>"罗小钰"</f>
        <v>罗小钰</v>
      </c>
      <c r="E1056" s="2" t="str">
        <f t="shared" si="35"/>
        <v>女</v>
      </c>
    </row>
    <row r="1057" spans="1:5" s="1" customFormat="1" ht="34.5" customHeight="1">
      <c r="A1057" s="2">
        <v>1055</v>
      </c>
      <c r="B1057" s="2" t="str">
        <f>"35932021120715291065038"</f>
        <v>35932021120715291065038</v>
      </c>
      <c r="C1057" s="2" t="s">
        <v>10</v>
      </c>
      <c r="D1057" s="2" t="str">
        <f>"周珏"</f>
        <v>周珏</v>
      </c>
      <c r="E1057" s="2" t="str">
        <f t="shared" si="35"/>
        <v>女</v>
      </c>
    </row>
    <row r="1058" spans="1:5" s="1" customFormat="1" ht="34.5" customHeight="1">
      <c r="A1058" s="2">
        <v>1056</v>
      </c>
      <c r="B1058" s="2" t="str">
        <f>"35932021120715372265057"</f>
        <v>35932021120715372265057</v>
      </c>
      <c r="C1058" s="2" t="s">
        <v>10</v>
      </c>
      <c r="D1058" s="2" t="str">
        <f>"徐小玉"</f>
        <v>徐小玉</v>
      </c>
      <c r="E1058" s="2" t="str">
        <f t="shared" si="35"/>
        <v>女</v>
      </c>
    </row>
    <row r="1059" spans="1:5" s="1" customFormat="1" ht="34.5" customHeight="1">
      <c r="A1059" s="2">
        <v>1057</v>
      </c>
      <c r="B1059" s="2" t="str">
        <f>"35932021120715492865093"</f>
        <v>35932021120715492865093</v>
      </c>
      <c r="C1059" s="2" t="s">
        <v>10</v>
      </c>
      <c r="D1059" s="2" t="str">
        <f>"温希月"</f>
        <v>温希月</v>
      </c>
      <c r="E1059" s="2" t="str">
        <f t="shared" si="35"/>
        <v>女</v>
      </c>
    </row>
    <row r="1060" spans="1:5" s="1" customFormat="1" ht="34.5" customHeight="1">
      <c r="A1060" s="2">
        <v>1058</v>
      </c>
      <c r="B1060" s="2" t="str">
        <f>"35932021120715514665097"</f>
        <v>35932021120715514665097</v>
      </c>
      <c r="C1060" s="2" t="s">
        <v>10</v>
      </c>
      <c r="D1060" s="2" t="str">
        <f>"林彩金"</f>
        <v>林彩金</v>
      </c>
      <c r="E1060" s="2" t="str">
        <f t="shared" si="35"/>
        <v>女</v>
      </c>
    </row>
    <row r="1061" spans="1:5" s="1" customFormat="1" ht="34.5" customHeight="1">
      <c r="A1061" s="2">
        <v>1059</v>
      </c>
      <c r="B1061" s="2" t="str">
        <f>"35932021120715563065112"</f>
        <v>35932021120715563065112</v>
      </c>
      <c r="C1061" s="2" t="s">
        <v>10</v>
      </c>
      <c r="D1061" s="2" t="str">
        <f>"吴晓文"</f>
        <v>吴晓文</v>
      </c>
      <c r="E1061" s="2" t="str">
        <f t="shared" si="35"/>
        <v>女</v>
      </c>
    </row>
    <row r="1062" spans="1:5" s="1" customFormat="1" ht="34.5" customHeight="1">
      <c r="A1062" s="2">
        <v>1060</v>
      </c>
      <c r="B1062" s="2" t="str">
        <f>"35932021120715565465116"</f>
        <v>35932021120715565465116</v>
      </c>
      <c r="C1062" s="2" t="s">
        <v>10</v>
      </c>
      <c r="D1062" s="2" t="str">
        <f>"何慧怡"</f>
        <v>何慧怡</v>
      </c>
      <c r="E1062" s="2" t="str">
        <f t="shared" si="35"/>
        <v>女</v>
      </c>
    </row>
    <row r="1063" spans="1:5" s="1" customFormat="1" ht="34.5" customHeight="1">
      <c r="A1063" s="2">
        <v>1061</v>
      </c>
      <c r="B1063" s="2" t="str">
        <f>"35932021120716310865204"</f>
        <v>35932021120716310865204</v>
      </c>
      <c r="C1063" s="2" t="s">
        <v>10</v>
      </c>
      <c r="D1063" s="2" t="str">
        <f>"郑佳佳"</f>
        <v>郑佳佳</v>
      </c>
      <c r="E1063" s="2" t="str">
        <f t="shared" si="35"/>
        <v>女</v>
      </c>
    </row>
    <row r="1064" spans="1:5" s="1" customFormat="1" ht="34.5" customHeight="1">
      <c r="A1064" s="2">
        <v>1062</v>
      </c>
      <c r="B1064" s="2" t="str">
        <f>"35932021120716323665208"</f>
        <v>35932021120716323665208</v>
      </c>
      <c r="C1064" s="2" t="s">
        <v>10</v>
      </c>
      <c r="D1064" s="2" t="str">
        <f>"云嘉钰"</f>
        <v>云嘉钰</v>
      </c>
      <c r="E1064" s="2" t="str">
        <f t="shared" si="35"/>
        <v>女</v>
      </c>
    </row>
    <row r="1065" spans="1:5" s="1" customFormat="1" ht="34.5" customHeight="1">
      <c r="A1065" s="2">
        <v>1063</v>
      </c>
      <c r="B1065" s="2" t="str">
        <f>"35932021120716403365231"</f>
        <v>35932021120716403365231</v>
      </c>
      <c r="C1065" s="2" t="s">
        <v>10</v>
      </c>
      <c r="D1065" s="2" t="str">
        <f>"沈小玲"</f>
        <v>沈小玲</v>
      </c>
      <c r="E1065" s="2" t="str">
        <f t="shared" si="35"/>
        <v>女</v>
      </c>
    </row>
    <row r="1066" spans="1:5" s="1" customFormat="1" ht="34.5" customHeight="1">
      <c r="A1066" s="2">
        <v>1064</v>
      </c>
      <c r="B1066" s="2" t="str">
        <f>"35932021120716470265251"</f>
        <v>35932021120716470265251</v>
      </c>
      <c r="C1066" s="2" t="s">
        <v>10</v>
      </c>
      <c r="D1066" s="2" t="str">
        <f>"赵晓晓"</f>
        <v>赵晓晓</v>
      </c>
      <c r="E1066" s="2" t="str">
        <f t="shared" si="35"/>
        <v>女</v>
      </c>
    </row>
    <row r="1067" spans="1:5" s="1" customFormat="1" ht="34.5" customHeight="1">
      <c r="A1067" s="2">
        <v>1065</v>
      </c>
      <c r="B1067" s="2" t="str">
        <f>"35932021120716485765258"</f>
        <v>35932021120716485765258</v>
      </c>
      <c r="C1067" s="2" t="s">
        <v>10</v>
      </c>
      <c r="D1067" s="2" t="str">
        <f>"王少颖"</f>
        <v>王少颖</v>
      </c>
      <c r="E1067" s="2" t="str">
        <f t="shared" si="35"/>
        <v>女</v>
      </c>
    </row>
    <row r="1068" spans="1:5" s="1" customFormat="1" ht="34.5" customHeight="1">
      <c r="A1068" s="2">
        <v>1066</v>
      </c>
      <c r="B1068" s="2" t="str">
        <f>"35932021120717054065293"</f>
        <v>35932021120717054065293</v>
      </c>
      <c r="C1068" s="2" t="s">
        <v>10</v>
      </c>
      <c r="D1068" s="2" t="str">
        <f>"孙娴"</f>
        <v>孙娴</v>
      </c>
      <c r="E1068" s="2" t="str">
        <f t="shared" si="35"/>
        <v>女</v>
      </c>
    </row>
    <row r="1069" spans="1:5" s="1" customFormat="1" ht="34.5" customHeight="1">
      <c r="A1069" s="2">
        <v>1067</v>
      </c>
      <c r="B1069" s="2" t="str">
        <f>"35932021120717112065307"</f>
        <v>35932021120717112065307</v>
      </c>
      <c r="C1069" s="2" t="s">
        <v>10</v>
      </c>
      <c r="D1069" s="2" t="str">
        <f>"任国铭 "</f>
        <v>任国铭 </v>
      </c>
      <c r="E1069" s="2" t="str">
        <f>"男"</f>
        <v>男</v>
      </c>
    </row>
    <row r="1070" spans="1:5" s="1" customFormat="1" ht="34.5" customHeight="1">
      <c r="A1070" s="2">
        <v>1068</v>
      </c>
      <c r="B1070" s="2" t="str">
        <f>"35932021120717162965313"</f>
        <v>35932021120717162965313</v>
      </c>
      <c r="C1070" s="2" t="s">
        <v>10</v>
      </c>
      <c r="D1070" s="2" t="str">
        <f>"郑秋琴"</f>
        <v>郑秋琴</v>
      </c>
      <c r="E1070" s="2" t="str">
        <f>"女"</f>
        <v>女</v>
      </c>
    </row>
    <row r="1071" spans="1:5" s="1" customFormat="1" ht="34.5" customHeight="1">
      <c r="A1071" s="2">
        <v>1069</v>
      </c>
      <c r="B1071" s="2" t="str">
        <f>"35932021120717241565325"</f>
        <v>35932021120717241565325</v>
      </c>
      <c r="C1071" s="2" t="s">
        <v>10</v>
      </c>
      <c r="D1071" s="2" t="str">
        <f>"张秋岱"</f>
        <v>张秋岱</v>
      </c>
      <c r="E1071" s="2" t="str">
        <f>"女"</f>
        <v>女</v>
      </c>
    </row>
    <row r="1072" spans="1:5" s="1" customFormat="1" ht="34.5" customHeight="1">
      <c r="A1072" s="2">
        <v>1070</v>
      </c>
      <c r="B1072" s="2" t="str">
        <f>"35932021120717275665330"</f>
        <v>35932021120717275665330</v>
      </c>
      <c r="C1072" s="2" t="s">
        <v>10</v>
      </c>
      <c r="D1072" s="2" t="str">
        <f>"赵贵兰"</f>
        <v>赵贵兰</v>
      </c>
      <c r="E1072" s="2" t="str">
        <f>"女"</f>
        <v>女</v>
      </c>
    </row>
    <row r="1073" spans="1:5" s="1" customFormat="1" ht="34.5" customHeight="1">
      <c r="A1073" s="2">
        <v>1071</v>
      </c>
      <c r="B1073" s="2" t="str">
        <f>"35932021120717331465336"</f>
        <v>35932021120717331465336</v>
      </c>
      <c r="C1073" s="2" t="s">
        <v>10</v>
      </c>
      <c r="D1073" s="2" t="str">
        <f>"王淑莺"</f>
        <v>王淑莺</v>
      </c>
      <c r="E1073" s="2" t="str">
        <f>"女"</f>
        <v>女</v>
      </c>
    </row>
    <row r="1074" spans="1:5" s="1" customFormat="1" ht="34.5" customHeight="1">
      <c r="A1074" s="2">
        <v>1072</v>
      </c>
      <c r="B1074" s="2" t="str">
        <f>"35932021120717404165344"</f>
        <v>35932021120717404165344</v>
      </c>
      <c r="C1074" s="2" t="s">
        <v>10</v>
      </c>
      <c r="D1074" s="2" t="str">
        <f>"林克彬"</f>
        <v>林克彬</v>
      </c>
      <c r="E1074" s="2" t="str">
        <f>"男"</f>
        <v>男</v>
      </c>
    </row>
    <row r="1075" spans="1:5" s="1" customFormat="1" ht="34.5" customHeight="1">
      <c r="A1075" s="2">
        <v>1073</v>
      </c>
      <c r="B1075" s="2" t="str">
        <f>"35932021120717442865348"</f>
        <v>35932021120717442865348</v>
      </c>
      <c r="C1075" s="2" t="s">
        <v>10</v>
      </c>
      <c r="D1075" s="2" t="str">
        <f>"陈泓霖"</f>
        <v>陈泓霖</v>
      </c>
      <c r="E1075" s="2" t="str">
        <f>"男"</f>
        <v>男</v>
      </c>
    </row>
    <row r="1076" spans="1:5" s="1" customFormat="1" ht="34.5" customHeight="1">
      <c r="A1076" s="2">
        <v>1074</v>
      </c>
      <c r="B1076" s="2" t="str">
        <f>"35932021120717475465351"</f>
        <v>35932021120717475465351</v>
      </c>
      <c r="C1076" s="2" t="s">
        <v>10</v>
      </c>
      <c r="D1076" s="2" t="str">
        <f>"王春霞"</f>
        <v>王春霞</v>
      </c>
      <c r="E1076" s="2" t="str">
        <f>"女"</f>
        <v>女</v>
      </c>
    </row>
    <row r="1077" spans="1:5" s="1" customFormat="1" ht="34.5" customHeight="1">
      <c r="A1077" s="2">
        <v>1075</v>
      </c>
      <c r="B1077" s="2" t="str">
        <f>"35932021120718144065365"</f>
        <v>35932021120718144065365</v>
      </c>
      <c r="C1077" s="2" t="s">
        <v>10</v>
      </c>
      <c r="D1077" s="2" t="str">
        <f>"陈柏延"</f>
        <v>陈柏延</v>
      </c>
      <c r="E1077" s="2" t="str">
        <f>"男"</f>
        <v>男</v>
      </c>
    </row>
    <row r="1078" spans="1:5" s="1" customFormat="1" ht="34.5" customHeight="1">
      <c r="A1078" s="2">
        <v>1076</v>
      </c>
      <c r="B1078" s="2" t="str">
        <f>"35932021120718154165367"</f>
        <v>35932021120718154165367</v>
      </c>
      <c r="C1078" s="2" t="s">
        <v>10</v>
      </c>
      <c r="D1078" s="2" t="str">
        <f>"胡高珲"</f>
        <v>胡高珲</v>
      </c>
      <c r="E1078" s="2" t="str">
        <f>"男"</f>
        <v>男</v>
      </c>
    </row>
    <row r="1079" spans="1:5" s="1" customFormat="1" ht="34.5" customHeight="1">
      <c r="A1079" s="2">
        <v>1077</v>
      </c>
      <c r="B1079" s="2" t="str">
        <f>"35932021120718345965374"</f>
        <v>35932021120718345965374</v>
      </c>
      <c r="C1079" s="2" t="s">
        <v>10</v>
      </c>
      <c r="D1079" s="2" t="str">
        <f>"符加"</f>
        <v>符加</v>
      </c>
      <c r="E1079" s="2" t="str">
        <f aca="true" t="shared" si="36" ref="E1079:E1088">"女"</f>
        <v>女</v>
      </c>
    </row>
    <row r="1080" spans="1:5" s="1" customFormat="1" ht="34.5" customHeight="1">
      <c r="A1080" s="2">
        <v>1078</v>
      </c>
      <c r="B1080" s="2" t="str">
        <f>"35932021120718375365376"</f>
        <v>35932021120718375365376</v>
      </c>
      <c r="C1080" s="2" t="s">
        <v>10</v>
      </c>
      <c r="D1080" s="2" t="str">
        <f>"郑贞莹"</f>
        <v>郑贞莹</v>
      </c>
      <c r="E1080" s="2" t="str">
        <f t="shared" si="36"/>
        <v>女</v>
      </c>
    </row>
    <row r="1081" spans="1:5" s="1" customFormat="1" ht="34.5" customHeight="1">
      <c r="A1081" s="2">
        <v>1079</v>
      </c>
      <c r="B1081" s="2" t="str">
        <f>"35932021120718381465378"</f>
        <v>35932021120718381465378</v>
      </c>
      <c r="C1081" s="2" t="s">
        <v>10</v>
      </c>
      <c r="D1081" s="2" t="str">
        <f>"林倩"</f>
        <v>林倩</v>
      </c>
      <c r="E1081" s="2" t="str">
        <f t="shared" si="36"/>
        <v>女</v>
      </c>
    </row>
    <row r="1082" spans="1:5" s="1" customFormat="1" ht="34.5" customHeight="1">
      <c r="A1082" s="2">
        <v>1080</v>
      </c>
      <c r="B1082" s="2" t="str">
        <f>"35932021120718421465380"</f>
        <v>35932021120718421465380</v>
      </c>
      <c r="C1082" s="2" t="s">
        <v>10</v>
      </c>
      <c r="D1082" s="2" t="str">
        <f>"陈雅琪"</f>
        <v>陈雅琪</v>
      </c>
      <c r="E1082" s="2" t="str">
        <f t="shared" si="36"/>
        <v>女</v>
      </c>
    </row>
    <row r="1083" spans="1:5" s="1" customFormat="1" ht="34.5" customHeight="1">
      <c r="A1083" s="2">
        <v>1081</v>
      </c>
      <c r="B1083" s="2" t="str">
        <f>"35932021120718434665381"</f>
        <v>35932021120718434665381</v>
      </c>
      <c r="C1083" s="2" t="s">
        <v>10</v>
      </c>
      <c r="D1083" s="2" t="str">
        <f>"陈艳丹"</f>
        <v>陈艳丹</v>
      </c>
      <c r="E1083" s="2" t="str">
        <f t="shared" si="36"/>
        <v>女</v>
      </c>
    </row>
    <row r="1084" spans="1:5" s="1" customFormat="1" ht="34.5" customHeight="1">
      <c r="A1084" s="2">
        <v>1082</v>
      </c>
      <c r="B1084" s="2" t="str">
        <f>"35932021120719145865400"</f>
        <v>35932021120719145865400</v>
      </c>
      <c r="C1084" s="2" t="s">
        <v>10</v>
      </c>
      <c r="D1084" s="2" t="str">
        <f>"古德霞"</f>
        <v>古德霞</v>
      </c>
      <c r="E1084" s="2" t="str">
        <f t="shared" si="36"/>
        <v>女</v>
      </c>
    </row>
    <row r="1085" spans="1:5" s="1" customFormat="1" ht="34.5" customHeight="1">
      <c r="A1085" s="2">
        <v>1083</v>
      </c>
      <c r="B1085" s="2" t="str">
        <f>"35932021120719232465407"</f>
        <v>35932021120719232465407</v>
      </c>
      <c r="C1085" s="2" t="s">
        <v>10</v>
      </c>
      <c r="D1085" s="2" t="str">
        <f>"黄翠虹"</f>
        <v>黄翠虹</v>
      </c>
      <c r="E1085" s="2" t="str">
        <f t="shared" si="36"/>
        <v>女</v>
      </c>
    </row>
    <row r="1086" spans="1:5" s="1" customFormat="1" ht="34.5" customHeight="1">
      <c r="A1086" s="2">
        <v>1084</v>
      </c>
      <c r="B1086" s="2" t="str">
        <f>"35932021120719563865431"</f>
        <v>35932021120719563865431</v>
      </c>
      <c r="C1086" s="2" t="s">
        <v>10</v>
      </c>
      <c r="D1086" s="2" t="str">
        <f>"陈坤秀"</f>
        <v>陈坤秀</v>
      </c>
      <c r="E1086" s="2" t="str">
        <f t="shared" si="36"/>
        <v>女</v>
      </c>
    </row>
    <row r="1087" spans="1:5" s="1" customFormat="1" ht="34.5" customHeight="1">
      <c r="A1087" s="2">
        <v>1085</v>
      </c>
      <c r="B1087" s="2" t="str">
        <f>"35932021120720012865435"</f>
        <v>35932021120720012865435</v>
      </c>
      <c r="C1087" s="2" t="s">
        <v>10</v>
      </c>
      <c r="D1087" s="2" t="str">
        <f>"陈嘉新"</f>
        <v>陈嘉新</v>
      </c>
      <c r="E1087" s="2" t="str">
        <f t="shared" si="36"/>
        <v>女</v>
      </c>
    </row>
    <row r="1088" spans="1:5" s="1" customFormat="1" ht="34.5" customHeight="1">
      <c r="A1088" s="2">
        <v>1086</v>
      </c>
      <c r="B1088" s="2" t="str">
        <f>"35932021120720044265439"</f>
        <v>35932021120720044265439</v>
      </c>
      <c r="C1088" s="2" t="s">
        <v>10</v>
      </c>
      <c r="D1088" s="2" t="str">
        <f>"黄彦颖"</f>
        <v>黄彦颖</v>
      </c>
      <c r="E1088" s="2" t="str">
        <f t="shared" si="36"/>
        <v>女</v>
      </c>
    </row>
    <row r="1089" spans="1:5" s="1" customFormat="1" ht="34.5" customHeight="1">
      <c r="A1089" s="2">
        <v>1087</v>
      </c>
      <c r="B1089" s="2" t="str">
        <f>"35932021120720045765440"</f>
        <v>35932021120720045765440</v>
      </c>
      <c r="C1089" s="2" t="s">
        <v>10</v>
      </c>
      <c r="D1089" s="2" t="str">
        <f>"陈小明"</f>
        <v>陈小明</v>
      </c>
      <c r="E1089" s="2" t="str">
        <f>"男"</f>
        <v>男</v>
      </c>
    </row>
    <row r="1090" spans="1:5" s="1" customFormat="1" ht="34.5" customHeight="1">
      <c r="A1090" s="2">
        <v>1088</v>
      </c>
      <c r="B1090" s="2" t="str">
        <f>"35932021120720054465441"</f>
        <v>35932021120720054465441</v>
      </c>
      <c r="C1090" s="2" t="s">
        <v>10</v>
      </c>
      <c r="D1090" s="2" t="str">
        <f>"何杨琦"</f>
        <v>何杨琦</v>
      </c>
      <c r="E1090" s="2" t="str">
        <f>"女"</f>
        <v>女</v>
      </c>
    </row>
    <row r="1091" spans="1:5" s="1" customFormat="1" ht="34.5" customHeight="1">
      <c r="A1091" s="2">
        <v>1089</v>
      </c>
      <c r="B1091" s="2" t="str">
        <f>"35932021120720125065445"</f>
        <v>35932021120720125065445</v>
      </c>
      <c r="C1091" s="2" t="s">
        <v>10</v>
      </c>
      <c r="D1091" s="2" t="str">
        <f>"辜绳奋"</f>
        <v>辜绳奋</v>
      </c>
      <c r="E1091" s="2" t="str">
        <f>"男"</f>
        <v>男</v>
      </c>
    </row>
    <row r="1092" spans="1:5" s="1" customFormat="1" ht="34.5" customHeight="1">
      <c r="A1092" s="2">
        <v>1090</v>
      </c>
      <c r="B1092" s="2" t="str">
        <f>"35932021120720380065458"</f>
        <v>35932021120720380065458</v>
      </c>
      <c r="C1092" s="2" t="s">
        <v>10</v>
      </c>
      <c r="D1092" s="2" t="str">
        <f>"王根"</f>
        <v>王根</v>
      </c>
      <c r="E1092" s="2" t="str">
        <f aca="true" t="shared" si="37" ref="E1092:E1107">"女"</f>
        <v>女</v>
      </c>
    </row>
    <row r="1093" spans="1:5" s="1" customFormat="1" ht="34.5" customHeight="1">
      <c r="A1093" s="2">
        <v>1091</v>
      </c>
      <c r="B1093" s="2" t="str">
        <f>"35932021120720503565462"</f>
        <v>35932021120720503565462</v>
      </c>
      <c r="C1093" s="2" t="s">
        <v>10</v>
      </c>
      <c r="D1093" s="2" t="str">
        <f>"李鑫"</f>
        <v>李鑫</v>
      </c>
      <c r="E1093" s="2" t="str">
        <f t="shared" si="37"/>
        <v>女</v>
      </c>
    </row>
    <row r="1094" spans="1:5" s="1" customFormat="1" ht="34.5" customHeight="1">
      <c r="A1094" s="2">
        <v>1092</v>
      </c>
      <c r="B1094" s="2" t="str">
        <f>"35932021120720562165466"</f>
        <v>35932021120720562165466</v>
      </c>
      <c r="C1094" s="2" t="s">
        <v>10</v>
      </c>
      <c r="D1094" s="2" t="str">
        <f>"张春艳"</f>
        <v>张春艳</v>
      </c>
      <c r="E1094" s="2" t="str">
        <f t="shared" si="37"/>
        <v>女</v>
      </c>
    </row>
    <row r="1095" spans="1:5" s="1" customFormat="1" ht="34.5" customHeight="1">
      <c r="A1095" s="2">
        <v>1093</v>
      </c>
      <c r="B1095" s="2" t="str">
        <f>"35932021120720570965467"</f>
        <v>35932021120720570965467</v>
      </c>
      <c r="C1095" s="2" t="s">
        <v>10</v>
      </c>
      <c r="D1095" s="2" t="str">
        <f>"吴晓莹"</f>
        <v>吴晓莹</v>
      </c>
      <c r="E1095" s="2" t="str">
        <f t="shared" si="37"/>
        <v>女</v>
      </c>
    </row>
    <row r="1096" spans="1:5" s="1" customFormat="1" ht="34.5" customHeight="1">
      <c r="A1096" s="2">
        <v>1094</v>
      </c>
      <c r="B1096" s="2" t="str">
        <f>"35932021120721072665474"</f>
        <v>35932021120721072665474</v>
      </c>
      <c r="C1096" s="2" t="s">
        <v>10</v>
      </c>
      <c r="D1096" s="2" t="str">
        <f>"潘菲菲"</f>
        <v>潘菲菲</v>
      </c>
      <c r="E1096" s="2" t="str">
        <f t="shared" si="37"/>
        <v>女</v>
      </c>
    </row>
    <row r="1097" spans="1:5" s="1" customFormat="1" ht="34.5" customHeight="1">
      <c r="A1097" s="2">
        <v>1095</v>
      </c>
      <c r="B1097" s="2" t="str">
        <f>"35932021120721115365478"</f>
        <v>35932021120721115365478</v>
      </c>
      <c r="C1097" s="2" t="s">
        <v>10</v>
      </c>
      <c r="D1097" s="2" t="str">
        <f>"许玮琇"</f>
        <v>许玮琇</v>
      </c>
      <c r="E1097" s="2" t="str">
        <f t="shared" si="37"/>
        <v>女</v>
      </c>
    </row>
    <row r="1098" spans="1:5" s="1" customFormat="1" ht="34.5" customHeight="1">
      <c r="A1098" s="2">
        <v>1096</v>
      </c>
      <c r="B1098" s="2" t="str">
        <f>"35932021120721143565479"</f>
        <v>35932021120721143565479</v>
      </c>
      <c r="C1098" s="2" t="s">
        <v>10</v>
      </c>
      <c r="D1098" s="2" t="str">
        <f>"陈怡"</f>
        <v>陈怡</v>
      </c>
      <c r="E1098" s="2" t="str">
        <f t="shared" si="37"/>
        <v>女</v>
      </c>
    </row>
    <row r="1099" spans="1:5" s="1" customFormat="1" ht="34.5" customHeight="1">
      <c r="A1099" s="2">
        <v>1097</v>
      </c>
      <c r="B1099" s="2" t="str">
        <f>"35932021120721193465480"</f>
        <v>35932021120721193465480</v>
      </c>
      <c r="C1099" s="2" t="s">
        <v>10</v>
      </c>
      <c r="D1099" s="2" t="str">
        <f>"杨淮菁"</f>
        <v>杨淮菁</v>
      </c>
      <c r="E1099" s="2" t="str">
        <f t="shared" si="37"/>
        <v>女</v>
      </c>
    </row>
    <row r="1100" spans="1:5" s="1" customFormat="1" ht="34.5" customHeight="1">
      <c r="A1100" s="2">
        <v>1098</v>
      </c>
      <c r="B1100" s="2" t="str">
        <f>"35932021120721404465492"</f>
        <v>35932021120721404465492</v>
      </c>
      <c r="C1100" s="2" t="s">
        <v>10</v>
      </c>
      <c r="D1100" s="2" t="str">
        <f>"王丹丹"</f>
        <v>王丹丹</v>
      </c>
      <c r="E1100" s="2" t="str">
        <f t="shared" si="37"/>
        <v>女</v>
      </c>
    </row>
    <row r="1101" spans="1:5" s="1" customFormat="1" ht="34.5" customHeight="1">
      <c r="A1101" s="2">
        <v>1099</v>
      </c>
      <c r="B1101" s="2" t="str">
        <f>"35932021120721434965495"</f>
        <v>35932021120721434965495</v>
      </c>
      <c r="C1101" s="2" t="s">
        <v>10</v>
      </c>
      <c r="D1101" s="2" t="str">
        <f>"周盈"</f>
        <v>周盈</v>
      </c>
      <c r="E1101" s="2" t="str">
        <f t="shared" si="37"/>
        <v>女</v>
      </c>
    </row>
    <row r="1102" spans="1:5" s="1" customFormat="1" ht="34.5" customHeight="1">
      <c r="A1102" s="2">
        <v>1100</v>
      </c>
      <c r="B1102" s="2" t="str">
        <f>"35932021120721593165503"</f>
        <v>35932021120721593165503</v>
      </c>
      <c r="C1102" s="2" t="s">
        <v>10</v>
      </c>
      <c r="D1102" s="2" t="str">
        <f>"翁嘉琪"</f>
        <v>翁嘉琪</v>
      </c>
      <c r="E1102" s="2" t="str">
        <f t="shared" si="37"/>
        <v>女</v>
      </c>
    </row>
    <row r="1103" spans="1:5" s="1" customFormat="1" ht="34.5" customHeight="1">
      <c r="A1103" s="2">
        <v>1101</v>
      </c>
      <c r="B1103" s="2" t="str">
        <f>"35932021120722093865510"</f>
        <v>35932021120722093865510</v>
      </c>
      <c r="C1103" s="2" t="s">
        <v>10</v>
      </c>
      <c r="D1103" s="2" t="str">
        <f>"许敏"</f>
        <v>许敏</v>
      </c>
      <c r="E1103" s="2" t="str">
        <f t="shared" si="37"/>
        <v>女</v>
      </c>
    </row>
    <row r="1104" spans="1:5" s="1" customFormat="1" ht="34.5" customHeight="1">
      <c r="A1104" s="2">
        <v>1102</v>
      </c>
      <c r="B1104" s="2" t="str">
        <f>"35932021120722232365517"</f>
        <v>35932021120722232365517</v>
      </c>
      <c r="C1104" s="2" t="s">
        <v>10</v>
      </c>
      <c r="D1104" s="2" t="str">
        <f>"张梦莹"</f>
        <v>张梦莹</v>
      </c>
      <c r="E1104" s="2" t="str">
        <f t="shared" si="37"/>
        <v>女</v>
      </c>
    </row>
    <row r="1105" spans="1:5" s="1" customFormat="1" ht="34.5" customHeight="1">
      <c r="A1105" s="2">
        <v>1103</v>
      </c>
      <c r="B1105" s="2" t="str">
        <f>"35932021120722443765531"</f>
        <v>35932021120722443765531</v>
      </c>
      <c r="C1105" s="2" t="s">
        <v>10</v>
      </c>
      <c r="D1105" s="2" t="str">
        <f>"蔡爱芳"</f>
        <v>蔡爱芳</v>
      </c>
      <c r="E1105" s="2" t="str">
        <f t="shared" si="37"/>
        <v>女</v>
      </c>
    </row>
    <row r="1106" spans="1:5" s="1" customFormat="1" ht="34.5" customHeight="1">
      <c r="A1106" s="2">
        <v>1104</v>
      </c>
      <c r="B1106" s="2" t="str">
        <f>"35932021120722501065535"</f>
        <v>35932021120722501065535</v>
      </c>
      <c r="C1106" s="2" t="s">
        <v>10</v>
      </c>
      <c r="D1106" s="2" t="str">
        <f>"郑芳恩"</f>
        <v>郑芳恩</v>
      </c>
      <c r="E1106" s="2" t="str">
        <f t="shared" si="37"/>
        <v>女</v>
      </c>
    </row>
    <row r="1107" spans="1:5" s="1" customFormat="1" ht="34.5" customHeight="1">
      <c r="A1107" s="2">
        <v>1105</v>
      </c>
      <c r="B1107" s="2" t="str">
        <f>"35932021120723040665541"</f>
        <v>35932021120723040665541</v>
      </c>
      <c r="C1107" s="2" t="s">
        <v>10</v>
      </c>
      <c r="D1107" s="2" t="str">
        <f>"周洁"</f>
        <v>周洁</v>
      </c>
      <c r="E1107" s="2" t="str">
        <f t="shared" si="37"/>
        <v>女</v>
      </c>
    </row>
    <row r="1108" spans="1:5" s="1" customFormat="1" ht="34.5" customHeight="1">
      <c r="A1108" s="2">
        <v>1106</v>
      </c>
      <c r="B1108" s="2" t="str">
        <f>"35932021120723283465550"</f>
        <v>35932021120723283465550</v>
      </c>
      <c r="C1108" s="2" t="s">
        <v>10</v>
      </c>
      <c r="D1108" s="2" t="str">
        <f>"孙基弟"</f>
        <v>孙基弟</v>
      </c>
      <c r="E1108" s="2" t="str">
        <f>"男"</f>
        <v>男</v>
      </c>
    </row>
    <row r="1109" spans="1:5" s="1" customFormat="1" ht="34.5" customHeight="1">
      <c r="A1109" s="2">
        <v>1107</v>
      </c>
      <c r="B1109" s="2" t="str">
        <f>"35932021120723321665551"</f>
        <v>35932021120723321665551</v>
      </c>
      <c r="C1109" s="2" t="s">
        <v>10</v>
      </c>
      <c r="D1109" s="2" t="str">
        <f>"吴多丰"</f>
        <v>吴多丰</v>
      </c>
      <c r="E1109" s="2" t="str">
        <f>"男"</f>
        <v>男</v>
      </c>
    </row>
    <row r="1110" spans="1:5" s="1" customFormat="1" ht="34.5" customHeight="1">
      <c r="A1110" s="2">
        <v>1108</v>
      </c>
      <c r="B1110" s="2" t="str">
        <f>"35932021120800222265562"</f>
        <v>35932021120800222265562</v>
      </c>
      <c r="C1110" s="2" t="s">
        <v>10</v>
      </c>
      <c r="D1110" s="2" t="str">
        <f>"潘小静"</f>
        <v>潘小静</v>
      </c>
      <c r="E1110" s="2" t="str">
        <f>"女"</f>
        <v>女</v>
      </c>
    </row>
    <row r="1111" spans="1:5" s="1" customFormat="1" ht="34.5" customHeight="1">
      <c r="A1111" s="2">
        <v>1109</v>
      </c>
      <c r="B1111" s="2" t="str">
        <f>"35932021120807470465572"</f>
        <v>35932021120807470465572</v>
      </c>
      <c r="C1111" s="2" t="s">
        <v>10</v>
      </c>
      <c r="D1111" s="2" t="str">
        <f>"郭绍远"</f>
        <v>郭绍远</v>
      </c>
      <c r="E1111" s="2" t="str">
        <f>"男"</f>
        <v>男</v>
      </c>
    </row>
    <row r="1112" spans="1:5" s="1" customFormat="1" ht="34.5" customHeight="1">
      <c r="A1112" s="2">
        <v>1110</v>
      </c>
      <c r="B1112" s="2" t="str">
        <f>"35932021120808262665577"</f>
        <v>35932021120808262665577</v>
      </c>
      <c r="C1112" s="2" t="s">
        <v>10</v>
      </c>
      <c r="D1112" s="2" t="str">
        <f>"符文一"</f>
        <v>符文一</v>
      </c>
      <c r="E1112" s="2" t="str">
        <f>"女"</f>
        <v>女</v>
      </c>
    </row>
    <row r="1113" spans="1:5" s="1" customFormat="1" ht="34.5" customHeight="1">
      <c r="A1113" s="2">
        <v>1111</v>
      </c>
      <c r="B1113" s="2" t="str">
        <f>"35932021120808435465586"</f>
        <v>35932021120808435465586</v>
      </c>
      <c r="C1113" s="2" t="s">
        <v>10</v>
      </c>
      <c r="D1113" s="2" t="str">
        <f>"陈帅"</f>
        <v>陈帅</v>
      </c>
      <c r="E1113" s="2" t="str">
        <f>"男"</f>
        <v>男</v>
      </c>
    </row>
    <row r="1114" spans="1:5" s="1" customFormat="1" ht="34.5" customHeight="1">
      <c r="A1114" s="2">
        <v>1112</v>
      </c>
      <c r="B1114" s="2" t="str">
        <f>"35932021120808503865592"</f>
        <v>35932021120808503865592</v>
      </c>
      <c r="C1114" s="2" t="s">
        <v>10</v>
      </c>
      <c r="D1114" s="2" t="str">
        <f>"柳艺"</f>
        <v>柳艺</v>
      </c>
      <c r="E1114" s="2" t="str">
        <f>"女"</f>
        <v>女</v>
      </c>
    </row>
    <row r="1115" spans="1:5" s="1" customFormat="1" ht="34.5" customHeight="1">
      <c r="A1115" s="2">
        <v>1113</v>
      </c>
      <c r="B1115" s="2" t="str">
        <f>"35932021120808511365595"</f>
        <v>35932021120808511365595</v>
      </c>
      <c r="C1115" s="2" t="s">
        <v>10</v>
      </c>
      <c r="D1115" s="2" t="str">
        <f>"符叶萍"</f>
        <v>符叶萍</v>
      </c>
      <c r="E1115" s="2" t="str">
        <f>"女"</f>
        <v>女</v>
      </c>
    </row>
    <row r="1116" spans="1:5" s="1" customFormat="1" ht="34.5" customHeight="1">
      <c r="A1116" s="2">
        <v>1114</v>
      </c>
      <c r="B1116" s="2" t="str">
        <f>"35932021120808543765596"</f>
        <v>35932021120808543765596</v>
      </c>
      <c r="C1116" s="2" t="s">
        <v>10</v>
      </c>
      <c r="D1116" s="2" t="str">
        <f>"王彩芳"</f>
        <v>王彩芳</v>
      </c>
      <c r="E1116" s="2" t="str">
        <f>"女"</f>
        <v>女</v>
      </c>
    </row>
    <row r="1117" spans="1:5" s="1" customFormat="1" ht="34.5" customHeight="1">
      <c r="A1117" s="2">
        <v>1115</v>
      </c>
      <c r="B1117" s="2" t="str">
        <f>"35932021120809014165601"</f>
        <v>35932021120809014165601</v>
      </c>
      <c r="C1117" s="2" t="s">
        <v>10</v>
      </c>
      <c r="D1117" s="2" t="str">
        <f>"陈扬"</f>
        <v>陈扬</v>
      </c>
      <c r="E1117" s="2" t="str">
        <f>"男"</f>
        <v>男</v>
      </c>
    </row>
    <row r="1118" spans="1:5" s="1" customFormat="1" ht="34.5" customHeight="1">
      <c r="A1118" s="2">
        <v>1116</v>
      </c>
      <c r="B1118" s="2" t="str">
        <f>"35932021120809024965603"</f>
        <v>35932021120809024965603</v>
      </c>
      <c r="C1118" s="2" t="s">
        <v>10</v>
      </c>
      <c r="D1118" s="2" t="str">
        <f>"郑玉娇"</f>
        <v>郑玉娇</v>
      </c>
      <c r="E1118" s="2" t="str">
        <f>"女"</f>
        <v>女</v>
      </c>
    </row>
    <row r="1119" spans="1:5" s="1" customFormat="1" ht="34.5" customHeight="1">
      <c r="A1119" s="2">
        <v>1117</v>
      </c>
      <c r="B1119" s="2" t="str">
        <f>"35932021120809094165610"</f>
        <v>35932021120809094165610</v>
      </c>
      <c r="C1119" s="2" t="s">
        <v>10</v>
      </c>
      <c r="D1119" s="2" t="str">
        <f>"王善健"</f>
        <v>王善健</v>
      </c>
      <c r="E1119" s="2" t="str">
        <f>"男"</f>
        <v>男</v>
      </c>
    </row>
    <row r="1120" spans="1:5" s="1" customFormat="1" ht="34.5" customHeight="1">
      <c r="A1120" s="2">
        <v>1118</v>
      </c>
      <c r="B1120" s="2" t="str">
        <f>"35932021120809095165611"</f>
        <v>35932021120809095165611</v>
      </c>
      <c r="C1120" s="2" t="s">
        <v>10</v>
      </c>
      <c r="D1120" s="2" t="str">
        <f>"蔡本清"</f>
        <v>蔡本清</v>
      </c>
      <c r="E1120" s="2" t="str">
        <f>"男"</f>
        <v>男</v>
      </c>
    </row>
    <row r="1121" spans="1:5" s="1" customFormat="1" ht="34.5" customHeight="1">
      <c r="A1121" s="2">
        <v>1119</v>
      </c>
      <c r="B1121" s="2" t="str">
        <f>"35932021120809150865613"</f>
        <v>35932021120809150865613</v>
      </c>
      <c r="C1121" s="2" t="s">
        <v>10</v>
      </c>
      <c r="D1121" s="2" t="str">
        <f>"李娆靖"</f>
        <v>李娆靖</v>
      </c>
      <c r="E1121" s="2" t="str">
        <f aca="true" t="shared" si="38" ref="E1121:E1130">"女"</f>
        <v>女</v>
      </c>
    </row>
    <row r="1122" spans="1:5" s="1" customFormat="1" ht="34.5" customHeight="1">
      <c r="A1122" s="2">
        <v>1120</v>
      </c>
      <c r="B1122" s="2" t="str">
        <f>"35932021120809252165618"</f>
        <v>35932021120809252165618</v>
      </c>
      <c r="C1122" s="2" t="s">
        <v>10</v>
      </c>
      <c r="D1122" s="2" t="str">
        <f>"黄雪玲"</f>
        <v>黄雪玲</v>
      </c>
      <c r="E1122" s="2" t="str">
        <f t="shared" si="38"/>
        <v>女</v>
      </c>
    </row>
    <row r="1123" spans="1:5" s="1" customFormat="1" ht="34.5" customHeight="1">
      <c r="A1123" s="2">
        <v>1121</v>
      </c>
      <c r="B1123" s="2" t="str">
        <f>"35932021120809361765630"</f>
        <v>35932021120809361765630</v>
      </c>
      <c r="C1123" s="2" t="s">
        <v>10</v>
      </c>
      <c r="D1123" s="2" t="str">
        <f>"刘秋红"</f>
        <v>刘秋红</v>
      </c>
      <c r="E1123" s="2" t="str">
        <f t="shared" si="38"/>
        <v>女</v>
      </c>
    </row>
    <row r="1124" spans="1:5" s="1" customFormat="1" ht="34.5" customHeight="1">
      <c r="A1124" s="2">
        <v>1122</v>
      </c>
      <c r="B1124" s="2" t="str">
        <f>"35932021120809370665632"</f>
        <v>35932021120809370665632</v>
      </c>
      <c r="C1124" s="2" t="s">
        <v>10</v>
      </c>
      <c r="D1124" s="2" t="str">
        <f>"丁小容"</f>
        <v>丁小容</v>
      </c>
      <c r="E1124" s="2" t="str">
        <f t="shared" si="38"/>
        <v>女</v>
      </c>
    </row>
    <row r="1125" spans="1:5" s="1" customFormat="1" ht="34.5" customHeight="1">
      <c r="A1125" s="2">
        <v>1123</v>
      </c>
      <c r="B1125" s="2" t="str">
        <f>"35932021120809421465635"</f>
        <v>35932021120809421465635</v>
      </c>
      <c r="C1125" s="2" t="s">
        <v>10</v>
      </c>
      <c r="D1125" s="2" t="str">
        <f>"杨惠景"</f>
        <v>杨惠景</v>
      </c>
      <c r="E1125" s="2" t="str">
        <f t="shared" si="38"/>
        <v>女</v>
      </c>
    </row>
    <row r="1126" spans="1:5" s="1" customFormat="1" ht="34.5" customHeight="1">
      <c r="A1126" s="2">
        <v>1124</v>
      </c>
      <c r="B1126" s="2" t="str">
        <f>"35932021120809434265637"</f>
        <v>35932021120809434265637</v>
      </c>
      <c r="C1126" s="2" t="s">
        <v>10</v>
      </c>
      <c r="D1126" s="2" t="str">
        <f>"符向向"</f>
        <v>符向向</v>
      </c>
      <c r="E1126" s="2" t="str">
        <f t="shared" si="38"/>
        <v>女</v>
      </c>
    </row>
    <row r="1127" spans="1:5" s="1" customFormat="1" ht="34.5" customHeight="1">
      <c r="A1127" s="2">
        <v>1125</v>
      </c>
      <c r="B1127" s="2" t="str">
        <f>"35932021120809445265640"</f>
        <v>35932021120809445265640</v>
      </c>
      <c r="C1127" s="2" t="s">
        <v>10</v>
      </c>
      <c r="D1127" s="2" t="str">
        <f>"黎晓祯"</f>
        <v>黎晓祯</v>
      </c>
      <c r="E1127" s="2" t="str">
        <f t="shared" si="38"/>
        <v>女</v>
      </c>
    </row>
    <row r="1128" spans="1:5" s="1" customFormat="1" ht="34.5" customHeight="1">
      <c r="A1128" s="2">
        <v>1126</v>
      </c>
      <c r="B1128" s="2" t="str">
        <f>"35932021120809451365641"</f>
        <v>35932021120809451365641</v>
      </c>
      <c r="C1128" s="2" t="s">
        <v>10</v>
      </c>
      <c r="D1128" s="2" t="str">
        <f>"李慧珠"</f>
        <v>李慧珠</v>
      </c>
      <c r="E1128" s="2" t="str">
        <f t="shared" si="38"/>
        <v>女</v>
      </c>
    </row>
    <row r="1129" spans="1:5" s="1" customFormat="1" ht="34.5" customHeight="1">
      <c r="A1129" s="2">
        <v>1127</v>
      </c>
      <c r="B1129" s="2" t="str">
        <f>"35932021120809464365644"</f>
        <v>35932021120809464365644</v>
      </c>
      <c r="C1129" s="2" t="s">
        <v>10</v>
      </c>
      <c r="D1129" s="2" t="str">
        <f>"符连妍"</f>
        <v>符连妍</v>
      </c>
      <c r="E1129" s="2" t="str">
        <f t="shared" si="38"/>
        <v>女</v>
      </c>
    </row>
    <row r="1130" spans="1:5" s="1" customFormat="1" ht="34.5" customHeight="1">
      <c r="A1130" s="2">
        <v>1128</v>
      </c>
      <c r="B1130" s="2" t="str">
        <f>"35932021120810015465653"</f>
        <v>35932021120810015465653</v>
      </c>
      <c r="C1130" s="2" t="s">
        <v>10</v>
      </c>
      <c r="D1130" s="2" t="str">
        <f>"吴小妹"</f>
        <v>吴小妹</v>
      </c>
      <c r="E1130" s="2" t="str">
        <f t="shared" si="38"/>
        <v>女</v>
      </c>
    </row>
    <row r="1131" spans="1:5" s="1" customFormat="1" ht="34.5" customHeight="1">
      <c r="A1131" s="2">
        <v>1129</v>
      </c>
      <c r="B1131" s="2" t="str">
        <f>"35932021120810080365658"</f>
        <v>35932021120810080365658</v>
      </c>
      <c r="C1131" s="2" t="s">
        <v>10</v>
      </c>
      <c r="D1131" s="2" t="str">
        <f>"王钱友"</f>
        <v>王钱友</v>
      </c>
      <c r="E1131" s="2" t="str">
        <f>"男"</f>
        <v>男</v>
      </c>
    </row>
    <row r="1132" spans="1:5" s="1" customFormat="1" ht="34.5" customHeight="1">
      <c r="A1132" s="2">
        <v>1130</v>
      </c>
      <c r="B1132" s="2" t="str">
        <f>"35932021120810111165660"</f>
        <v>35932021120810111165660</v>
      </c>
      <c r="C1132" s="2" t="s">
        <v>10</v>
      </c>
      <c r="D1132" s="2" t="str">
        <f>"陈圣平"</f>
        <v>陈圣平</v>
      </c>
      <c r="E1132" s="2" t="str">
        <f>"男"</f>
        <v>男</v>
      </c>
    </row>
    <row r="1133" spans="1:5" s="1" customFormat="1" ht="34.5" customHeight="1">
      <c r="A1133" s="2">
        <v>1131</v>
      </c>
      <c r="B1133" s="2" t="str">
        <f>"35932021120810240765673"</f>
        <v>35932021120810240765673</v>
      </c>
      <c r="C1133" s="2" t="s">
        <v>10</v>
      </c>
      <c r="D1133" s="2" t="str">
        <f>"庄清新"</f>
        <v>庄清新</v>
      </c>
      <c r="E1133" s="2" t="str">
        <f>"男"</f>
        <v>男</v>
      </c>
    </row>
    <row r="1134" spans="1:5" s="1" customFormat="1" ht="34.5" customHeight="1">
      <c r="A1134" s="2">
        <v>1132</v>
      </c>
      <c r="B1134" s="2" t="str">
        <f>"35932021120810252765675"</f>
        <v>35932021120810252765675</v>
      </c>
      <c r="C1134" s="2" t="s">
        <v>10</v>
      </c>
      <c r="D1134" s="2" t="str">
        <f>"符举怡"</f>
        <v>符举怡</v>
      </c>
      <c r="E1134" s="2" t="str">
        <f aca="true" t="shared" si="39" ref="E1134:E1146">"女"</f>
        <v>女</v>
      </c>
    </row>
    <row r="1135" spans="1:5" s="1" customFormat="1" ht="34.5" customHeight="1">
      <c r="A1135" s="2">
        <v>1133</v>
      </c>
      <c r="B1135" s="2" t="str">
        <f>"35932021120810315265680"</f>
        <v>35932021120810315265680</v>
      </c>
      <c r="C1135" s="2" t="s">
        <v>10</v>
      </c>
      <c r="D1135" s="2" t="str">
        <f>"吕媚"</f>
        <v>吕媚</v>
      </c>
      <c r="E1135" s="2" t="str">
        <f t="shared" si="39"/>
        <v>女</v>
      </c>
    </row>
    <row r="1136" spans="1:5" s="1" customFormat="1" ht="34.5" customHeight="1">
      <c r="A1136" s="2">
        <v>1134</v>
      </c>
      <c r="B1136" s="2" t="str">
        <f>"35932021120810340965683"</f>
        <v>35932021120810340965683</v>
      </c>
      <c r="C1136" s="2" t="s">
        <v>10</v>
      </c>
      <c r="D1136" s="2" t="str">
        <f>"吴婧"</f>
        <v>吴婧</v>
      </c>
      <c r="E1136" s="2" t="str">
        <f t="shared" si="39"/>
        <v>女</v>
      </c>
    </row>
    <row r="1137" spans="1:5" s="1" customFormat="1" ht="34.5" customHeight="1">
      <c r="A1137" s="2">
        <v>1135</v>
      </c>
      <c r="B1137" s="2" t="str">
        <f>"35932021120810500065696"</f>
        <v>35932021120810500065696</v>
      </c>
      <c r="C1137" s="2" t="s">
        <v>10</v>
      </c>
      <c r="D1137" s="2" t="str">
        <f>"王珺霆"</f>
        <v>王珺霆</v>
      </c>
      <c r="E1137" s="2" t="str">
        <f t="shared" si="39"/>
        <v>女</v>
      </c>
    </row>
    <row r="1138" spans="1:5" s="1" customFormat="1" ht="34.5" customHeight="1">
      <c r="A1138" s="2">
        <v>1136</v>
      </c>
      <c r="B1138" s="2" t="str">
        <f>"35932021120810524865698"</f>
        <v>35932021120810524865698</v>
      </c>
      <c r="C1138" s="2" t="s">
        <v>10</v>
      </c>
      <c r="D1138" s="2" t="str">
        <f>"姜百妍"</f>
        <v>姜百妍</v>
      </c>
      <c r="E1138" s="2" t="str">
        <f t="shared" si="39"/>
        <v>女</v>
      </c>
    </row>
    <row r="1139" spans="1:5" s="1" customFormat="1" ht="34.5" customHeight="1">
      <c r="A1139" s="2">
        <v>1137</v>
      </c>
      <c r="B1139" s="2" t="str">
        <f>"35932021120810592165701"</f>
        <v>35932021120810592165701</v>
      </c>
      <c r="C1139" s="2" t="s">
        <v>10</v>
      </c>
      <c r="D1139" s="2" t="str">
        <f>"周婉"</f>
        <v>周婉</v>
      </c>
      <c r="E1139" s="2" t="str">
        <f t="shared" si="39"/>
        <v>女</v>
      </c>
    </row>
    <row r="1140" spans="1:5" s="1" customFormat="1" ht="34.5" customHeight="1">
      <c r="A1140" s="2">
        <v>1138</v>
      </c>
      <c r="B1140" s="2" t="str">
        <f>"35932021120811082165707"</f>
        <v>35932021120811082165707</v>
      </c>
      <c r="C1140" s="2" t="s">
        <v>10</v>
      </c>
      <c r="D1140" s="2" t="str">
        <f>"唐晶晶"</f>
        <v>唐晶晶</v>
      </c>
      <c r="E1140" s="2" t="str">
        <f t="shared" si="39"/>
        <v>女</v>
      </c>
    </row>
    <row r="1141" spans="1:5" s="1" customFormat="1" ht="34.5" customHeight="1">
      <c r="A1141" s="2">
        <v>1139</v>
      </c>
      <c r="B1141" s="2" t="str">
        <f>"35932021120811095765710"</f>
        <v>35932021120811095765710</v>
      </c>
      <c r="C1141" s="2" t="s">
        <v>10</v>
      </c>
      <c r="D1141" s="2" t="str">
        <f>"朱琪"</f>
        <v>朱琪</v>
      </c>
      <c r="E1141" s="2" t="str">
        <f t="shared" si="39"/>
        <v>女</v>
      </c>
    </row>
    <row r="1142" spans="1:5" s="1" customFormat="1" ht="34.5" customHeight="1">
      <c r="A1142" s="2">
        <v>1140</v>
      </c>
      <c r="B1142" s="2" t="str">
        <f>"35932021120811112465712"</f>
        <v>35932021120811112465712</v>
      </c>
      <c r="C1142" s="2" t="s">
        <v>10</v>
      </c>
      <c r="D1142" s="2" t="str">
        <f>"吴蕴"</f>
        <v>吴蕴</v>
      </c>
      <c r="E1142" s="2" t="str">
        <f t="shared" si="39"/>
        <v>女</v>
      </c>
    </row>
    <row r="1143" spans="1:5" s="1" customFormat="1" ht="34.5" customHeight="1">
      <c r="A1143" s="2">
        <v>1141</v>
      </c>
      <c r="B1143" s="2" t="str">
        <f>"35932021120811151865713"</f>
        <v>35932021120811151865713</v>
      </c>
      <c r="C1143" s="2" t="s">
        <v>10</v>
      </c>
      <c r="D1143" s="2" t="str">
        <f>"陈丹丽"</f>
        <v>陈丹丽</v>
      </c>
      <c r="E1143" s="2" t="str">
        <f t="shared" si="39"/>
        <v>女</v>
      </c>
    </row>
    <row r="1144" spans="1:5" s="1" customFormat="1" ht="34.5" customHeight="1">
      <c r="A1144" s="2">
        <v>1142</v>
      </c>
      <c r="B1144" s="2" t="str">
        <f>"35932021120811321865728"</f>
        <v>35932021120811321865728</v>
      </c>
      <c r="C1144" s="2" t="s">
        <v>10</v>
      </c>
      <c r="D1144" s="2" t="str">
        <f>"林美婵"</f>
        <v>林美婵</v>
      </c>
      <c r="E1144" s="2" t="str">
        <f t="shared" si="39"/>
        <v>女</v>
      </c>
    </row>
    <row r="1145" spans="1:5" s="1" customFormat="1" ht="34.5" customHeight="1">
      <c r="A1145" s="2">
        <v>1143</v>
      </c>
      <c r="B1145" s="2" t="str">
        <f>"35932021120811390065731"</f>
        <v>35932021120811390065731</v>
      </c>
      <c r="C1145" s="2" t="s">
        <v>10</v>
      </c>
      <c r="D1145" s="2" t="str">
        <f>"黄丹凤"</f>
        <v>黄丹凤</v>
      </c>
      <c r="E1145" s="2" t="str">
        <f t="shared" si="39"/>
        <v>女</v>
      </c>
    </row>
    <row r="1146" spans="1:5" s="1" customFormat="1" ht="34.5" customHeight="1">
      <c r="A1146" s="2">
        <v>1144</v>
      </c>
      <c r="B1146" s="2" t="str">
        <f>"35932021120811391565732"</f>
        <v>35932021120811391565732</v>
      </c>
      <c r="C1146" s="2" t="s">
        <v>10</v>
      </c>
      <c r="D1146" s="2" t="str">
        <f>"肖婉茜"</f>
        <v>肖婉茜</v>
      </c>
      <c r="E1146" s="2" t="str">
        <f t="shared" si="39"/>
        <v>女</v>
      </c>
    </row>
    <row r="1147" spans="1:5" s="1" customFormat="1" ht="34.5" customHeight="1">
      <c r="A1147" s="2">
        <v>1145</v>
      </c>
      <c r="B1147" s="2" t="str">
        <f>"35932021120811421865735"</f>
        <v>35932021120811421865735</v>
      </c>
      <c r="C1147" s="2" t="s">
        <v>10</v>
      </c>
      <c r="D1147" s="2" t="str">
        <f>"张希卓"</f>
        <v>张希卓</v>
      </c>
      <c r="E1147" s="2" t="str">
        <f>"男"</f>
        <v>男</v>
      </c>
    </row>
    <row r="1148" spans="1:5" s="1" customFormat="1" ht="34.5" customHeight="1">
      <c r="A1148" s="2">
        <v>1146</v>
      </c>
      <c r="B1148" s="2" t="str">
        <f>"35932021120811472065739"</f>
        <v>35932021120811472065739</v>
      </c>
      <c r="C1148" s="2" t="s">
        <v>10</v>
      </c>
      <c r="D1148" s="2" t="str">
        <f>"吉莹莹"</f>
        <v>吉莹莹</v>
      </c>
      <c r="E1148" s="2" t="str">
        <f>"女"</f>
        <v>女</v>
      </c>
    </row>
    <row r="1149" spans="1:5" s="1" customFormat="1" ht="34.5" customHeight="1">
      <c r="A1149" s="2">
        <v>1147</v>
      </c>
      <c r="B1149" s="2" t="str">
        <f>"35932021120811500465743"</f>
        <v>35932021120811500465743</v>
      </c>
      <c r="C1149" s="2" t="s">
        <v>10</v>
      </c>
      <c r="D1149" s="2" t="str">
        <f>"白文胜"</f>
        <v>白文胜</v>
      </c>
      <c r="E1149" s="2" t="str">
        <f>"男"</f>
        <v>男</v>
      </c>
    </row>
    <row r="1150" spans="1:5" s="1" customFormat="1" ht="34.5" customHeight="1">
      <c r="A1150" s="2">
        <v>1148</v>
      </c>
      <c r="B1150" s="2" t="str">
        <f>"35932021120811581865747"</f>
        <v>35932021120811581865747</v>
      </c>
      <c r="C1150" s="2" t="s">
        <v>10</v>
      </c>
      <c r="D1150" s="2" t="str">
        <f>"吴巨猷"</f>
        <v>吴巨猷</v>
      </c>
      <c r="E1150" s="2" t="str">
        <f>"男"</f>
        <v>男</v>
      </c>
    </row>
    <row r="1151" spans="1:5" s="1" customFormat="1" ht="34.5" customHeight="1">
      <c r="A1151" s="2">
        <v>1149</v>
      </c>
      <c r="B1151" s="2" t="str">
        <f>"35932021120811590565748"</f>
        <v>35932021120811590565748</v>
      </c>
      <c r="C1151" s="2" t="s">
        <v>10</v>
      </c>
      <c r="D1151" s="2" t="str">
        <f>"张媛媛"</f>
        <v>张媛媛</v>
      </c>
      <c r="E1151" s="2" t="str">
        <f>"女"</f>
        <v>女</v>
      </c>
    </row>
    <row r="1152" spans="1:5" s="1" customFormat="1" ht="34.5" customHeight="1">
      <c r="A1152" s="2">
        <v>1150</v>
      </c>
      <c r="B1152" s="2" t="str">
        <f>"35932021120813112665780"</f>
        <v>35932021120813112665780</v>
      </c>
      <c r="C1152" s="2" t="s">
        <v>10</v>
      </c>
      <c r="D1152" s="2" t="str">
        <f>"杨令捷"</f>
        <v>杨令捷</v>
      </c>
      <c r="E1152" s="2" t="str">
        <f>"男"</f>
        <v>男</v>
      </c>
    </row>
    <row r="1153" spans="1:5" s="1" customFormat="1" ht="34.5" customHeight="1">
      <c r="A1153" s="2">
        <v>1151</v>
      </c>
      <c r="B1153" s="2" t="str">
        <f>"35932021120813141765782"</f>
        <v>35932021120813141765782</v>
      </c>
      <c r="C1153" s="2" t="s">
        <v>10</v>
      </c>
      <c r="D1153" s="2" t="str">
        <f>"于海佳"</f>
        <v>于海佳</v>
      </c>
      <c r="E1153" s="2" t="str">
        <f>"女"</f>
        <v>女</v>
      </c>
    </row>
    <row r="1154" spans="1:5" s="1" customFormat="1" ht="34.5" customHeight="1">
      <c r="A1154" s="2">
        <v>1152</v>
      </c>
      <c r="B1154" s="2" t="str">
        <f>"35932021120813572165801"</f>
        <v>35932021120813572165801</v>
      </c>
      <c r="C1154" s="2" t="s">
        <v>10</v>
      </c>
      <c r="D1154" s="2" t="str">
        <f>"宁兆媛"</f>
        <v>宁兆媛</v>
      </c>
      <c r="E1154" s="2" t="str">
        <f>"女"</f>
        <v>女</v>
      </c>
    </row>
    <row r="1155" spans="1:5" s="1" customFormat="1" ht="34.5" customHeight="1">
      <c r="A1155" s="2">
        <v>1153</v>
      </c>
      <c r="B1155" s="2" t="str">
        <f>"35932021120814154265808"</f>
        <v>35932021120814154265808</v>
      </c>
      <c r="C1155" s="2" t="s">
        <v>10</v>
      </c>
      <c r="D1155" s="2" t="str">
        <f>"黄莹"</f>
        <v>黄莹</v>
      </c>
      <c r="E1155" s="2" t="str">
        <f>"女"</f>
        <v>女</v>
      </c>
    </row>
    <row r="1156" spans="1:5" s="1" customFormat="1" ht="34.5" customHeight="1">
      <c r="A1156" s="2">
        <v>1154</v>
      </c>
      <c r="B1156" s="2" t="str">
        <f>"35932021120814185765811"</f>
        <v>35932021120814185765811</v>
      </c>
      <c r="C1156" s="2" t="s">
        <v>10</v>
      </c>
      <c r="D1156" s="2" t="str">
        <f>"苏敦起"</f>
        <v>苏敦起</v>
      </c>
      <c r="E1156" s="2" t="str">
        <f>"男"</f>
        <v>男</v>
      </c>
    </row>
    <row r="1157" spans="1:5" s="1" customFormat="1" ht="34.5" customHeight="1">
      <c r="A1157" s="2">
        <v>1155</v>
      </c>
      <c r="B1157" s="2" t="str">
        <f>"35932021120814422465826"</f>
        <v>35932021120814422465826</v>
      </c>
      <c r="C1157" s="2" t="s">
        <v>10</v>
      </c>
      <c r="D1157" s="2" t="str">
        <f>"冯惠"</f>
        <v>冯惠</v>
      </c>
      <c r="E1157" s="2" t="str">
        <f>"女"</f>
        <v>女</v>
      </c>
    </row>
    <row r="1158" spans="1:5" s="1" customFormat="1" ht="34.5" customHeight="1">
      <c r="A1158" s="2">
        <v>1156</v>
      </c>
      <c r="B1158" s="2" t="str">
        <f>"35932021120814460765828"</f>
        <v>35932021120814460765828</v>
      </c>
      <c r="C1158" s="2" t="s">
        <v>10</v>
      </c>
      <c r="D1158" s="2" t="str">
        <f>"林桦彬"</f>
        <v>林桦彬</v>
      </c>
      <c r="E1158" s="2" t="str">
        <f>"女"</f>
        <v>女</v>
      </c>
    </row>
    <row r="1159" spans="1:5" s="1" customFormat="1" ht="34.5" customHeight="1">
      <c r="A1159" s="2">
        <v>1157</v>
      </c>
      <c r="B1159" s="2" t="str">
        <f>"35932021120815160465836"</f>
        <v>35932021120815160465836</v>
      </c>
      <c r="C1159" s="2" t="s">
        <v>10</v>
      </c>
      <c r="D1159" s="2" t="str">
        <f>"吴碧雅"</f>
        <v>吴碧雅</v>
      </c>
      <c r="E1159" s="2" t="str">
        <f>"女"</f>
        <v>女</v>
      </c>
    </row>
    <row r="1160" spans="1:5" s="1" customFormat="1" ht="34.5" customHeight="1">
      <c r="A1160" s="2">
        <v>1158</v>
      </c>
      <c r="B1160" s="2" t="str">
        <f>"35932021120815162465837"</f>
        <v>35932021120815162465837</v>
      </c>
      <c r="C1160" s="2" t="s">
        <v>10</v>
      </c>
      <c r="D1160" s="2" t="str">
        <f>"多聪聪"</f>
        <v>多聪聪</v>
      </c>
      <c r="E1160" s="2" t="str">
        <f>"女"</f>
        <v>女</v>
      </c>
    </row>
    <row r="1161" spans="1:5" s="1" customFormat="1" ht="34.5" customHeight="1">
      <c r="A1161" s="2">
        <v>1159</v>
      </c>
      <c r="B1161" s="2" t="str">
        <f>"35932021120815184765838"</f>
        <v>35932021120815184765838</v>
      </c>
      <c r="C1161" s="2" t="s">
        <v>10</v>
      </c>
      <c r="D1161" s="2" t="str">
        <f>"陈淑玲"</f>
        <v>陈淑玲</v>
      </c>
      <c r="E1161" s="2" t="str">
        <f>"女"</f>
        <v>女</v>
      </c>
    </row>
    <row r="1162" spans="1:5" s="1" customFormat="1" ht="34.5" customHeight="1">
      <c r="A1162" s="2">
        <v>1160</v>
      </c>
      <c r="B1162" s="2" t="str">
        <f>"35932021120815184965839"</f>
        <v>35932021120815184965839</v>
      </c>
      <c r="C1162" s="2" t="s">
        <v>10</v>
      </c>
      <c r="D1162" s="2" t="str">
        <f>"许杰皓"</f>
        <v>许杰皓</v>
      </c>
      <c r="E1162" s="2" t="str">
        <f>"男"</f>
        <v>男</v>
      </c>
    </row>
    <row r="1163" spans="1:5" s="1" customFormat="1" ht="34.5" customHeight="1">
      <c r="A1163" s="2">
        <v>1161</v>
      </c>
      <c r="B1163" s="2" t="str">
        <f>"35932021120815232665844"</f>
        <v>35932021120815232665844</v>
      </c>
      <c r="C1163" s="2" t="s">
        <v>10</v>
      </c>
      <c r="D1163" s="2" t="str">
        <f>"施昌良"</f>
        <v>施昌良</v>
      </c>
      <c r="E1163" s="2" t="str">
        <f>"男"</f>
        <v>男</v>
      </c>
    </row>
    <row r="1164" spans="1:5" s="1" customFormat="1" ht="34.5" customHeight="1">
      <c r="A1164" s="2">
        <v>1162</v>
      </c>
      <c r="B1164" s="2" t="str">
        <f>"35932021120815262465847"</f>
        <v>35932021120815262465847</v>
      </c>
      <c r="C1164" s="2" t="s">
        <v>10</v>
      </c>
      <c r="D1164" s="2" t="str">
        <f>"陈强"</f>
        <v>陈强</v>
      </c>
      <c r="E1164" s="2" t="str">
        <f>"女"</f>
        <v>女</v>
      </c>
    </row>
    <row r="1165" spans="1:5" s="1" customFormat="1" ht="34.5" customHeight="1">
      <c r="A1165" s="2">
        <v>1163</v>
      </c>
      <c r="B1165" s="2" t="str">
        <f>"35932021120815275765848"</f>
        <v>35932021120815275765848</v>
      </c>
      <c r="C1165" s="2" t="s">
        <v>10</v>
      </c>
      <c r="D1165" s="2" t="str">
        <f>"邱相儒"</f>
        <v>邱相儒</v>
      </c>
      <c r="E1165" s="2" t="str">
        <f>"男"</f>
        <v>男</v>
      </c>
    </row>
    <row r="1166" spans="1:5" s="1" customFormat="1" ht="34.5" customHeight="1">
      <c r="A1166" s="2">
        <v>1164</v>
      </c>
      <c r="B1166" s="2" t="str">
        <f>"35932021120815373665856"</f>
        <v>35932021120815373665856</v>
      </c>
      <c r="C1166" s="2" t="s">
        <v>10</v>
      </c>
      <c r="D1166" s="2" t="str">
        <f>"林生婷"</f>
        <v>林生婷</v>
      </c>
      <c r="E1166" s="2" t="str">
        <f>"女"</f>
        <v>女</v>
      </c>
    </row>
    <row r="1167" spans="1:5" s="1" customFormat="1" ht="34.5" customHeight="1">
      <c r="A1167" s="2">
        <v>1165</v>
      </c>
      <c r="B1167" s="2" t="str">
        <f>"35932021120815393265858"</f>
        <v>35932021120815393265858</v>
      </c>
      <c r="C1167" s="2" t="s">
        <v>10</v>
      </c>
      <c r="D1167" s="2" t="str">
        <f>"林俊"</f>
        <v>林俊</v>
      </c>
      <c r="E1167" s="2" t="str">
        <f>"男"</f>
        <v>男</v>
      </c>
    </row>
    <row r="1168" spans="1:5" s="1" customFormat="1" ht="34.5" customHeight="1">
      <c r="A1168" s="2">
        <v>1166</v>
      </c>
      <c r="B1168" s="2" t="str">
        <f>"35932021120815410165861"</f>
        <v>35932021120815410165861</v>
      </c>
      <c r="C1168" s="2" t="s">
        <v>10</v>
      </c>
      <c r="D1168" s="2" t="str">
        <f>"庞曼舒"</f>
        <v>庞曼舒</v>
      </c>
      <c r="E1168" s="2" t="str">
        <f>"女"</f>
        <v>女</v>
      </c>
    </row>
    <row r="1169" spans="1:5" s="1" customFormat="1" ht="34.5" customHeight="1">
      <c r="A1169" s="2">
        <v>1167</v>
      </c>
      <c r="B1169" s="2" t="str">
        <f>"35932021120815471865865"</f>
        <v>35932021120815471865865</v>
      </c>
      <c r="C1169" s="2" t="s">
        <v>10</v>
      </c>
      <c r="D1169" s="2" t="str">
        <f>"云麒烨"</f>
        <v>云麒烨</v>
      </c>
      <c r="E1169" s="2" t="str">
        <f>"女"</f>
        <v>女</v>
      </c>
    </row>
    <row r="1170" spans="1:5" s="1" customFormat="1" ht="34.5" customHeight="1">
      <c r="A1170" s="2">
        <v>1168</v>
      </c>
      <c r="B1170" s="2" t="str">
        <f>"35932021120815505565868"</f>
        <v>35932021120815505565868</v>
      </c>
      <c r="C1170" s="2" t="s">
        <v>10</v>
      </c>
      <c r="D1170" s="2" t="str">
        <f>"叶子钰"</f>
        <v>叶子钰</v>
      </c>
      <c r="E1170" s="2" t="str">
        <f>"女"</f>
        <v>女</v>
      </c>
    </row>
    <row r="1171" spans="1:5" s="1" customFormat="1" ht="34.5" customHeight="1">
      <c r="A1171" s="2">
        <v>1169</v>
      </c>
      <c r="B1171" s="2" t="str">
        <f>"35932021120815523365872"</f>
        <v>35932021120815523365872</v>
      </c>
      <c r="C1171" s="2" t="s">
        <v>10</v>
      </c>
      <c r="D1171" s="2" t="str">
        <f>"何润林"</f>
        <v>何润林</v>
      </c>
      <c r="E1171" s="2" t="str">
        <f>"男"</f>
        <v>男</v>
      </c>
    </row>
    <row r="1172" spans="1:5" s="1" customFormat="1" ht="34.5" customHeight="1">
      <c r="A1172" s="2">
        <v>1170</v>
      </c>
      <c r="B1172" s="2" t="str">
        <f>"35932021120816012765882"</f>
        <v>35932021120816012765882</v>
      </c>
      <c r="C1172" s="2" t="s">
        <v>10</v>
      </c>
      <c r="D1172" s="2" t="str">
        <f>"韦忆琳"</f>
        <v>韦忆琳</v>
      </c>
      <c r="E1172" s="2" t="str">
        <f aca="true" t="shared" si="40" ref="E1172:E1180">"女"</f>
        <v>女</v>
      </c>
    </row>
    <row r="1173" spans="1:5" s="1" customFormat="1" ht="34.5" customHeight="1">
      <c r="A1173" s="2">
        <v>1171</v>
      </c>
      <c r="B1173" s="2" t="str">
        <f>"35932021120816060365884"</f>
        <v>35932021120816060365884</v>
      </c>
      <c r="C1173" s="2" t="s">
        <v>10</v>
      </c>
      <c r="D1173" s="2" t="str">
        <f>"陈新妃"</f>
        <v>陈新妃</v>
      </c>
      <c r="E1173" s="2" t="str">
        <f t="shared" si="40"/>
        <v>女</v>
      </c>
    </row>
    <row r="1174" spans="1:5" s="1" customFormat="1" ht="34.5" customHeight="1">
      <c r="A1174" s="2">
        <v>1172</v>
      </c>
      <c r="B1174" s="2" t="str">
        <f>"35932021120816122065887"</f>
        <v>35932021120816122065887</v>
      </c>
      <c r="C1174" s="2" t="s">
        <v>10</v>
      </c>
      <c r="D1174" s="2" t="str">
        <f>"吕燕冰"</f>
        <v>吕燕冰</v>
      </c>
      <c r="E1174" s="2" t="str">
        <f t="shared" si="40"/>
        <v>女</v>
      </c>
    </row>
    <row r="1175" spans="1:5" s="1" customFormat="1" ht="34.5" customHeight="1">
      <c r="A1175" s="2">
        <v>1173</v>
      </c>
      <c r="B1175" s="2" t="str">
        <f>"35932021120816215365894"</f>
        <v>35932021120816215365894</v>
      </c>
      <c r="C1175" s="2" t="s">
        <v>10</v>
      </c>
      <c r="D1175" s="2" t="str">
        <f>"符惠珠"</f>
        <v>符惠珠</v>
      </c>
      <c r="E1175" s="2" t="str">
        <f t="shared" si="40"/>
        <v>女</v>
      </c>
    </row>
    <row r="1176" spans="1:5" s="1" customFormat="1" ht="34.5" customHeight="1">
      <c r="A1176" s="2">
        <v>1174</v>
      </c>
      <c r="B1176" s="2" t="str">
        <f>"35932021120816284765900"</f>
        <v>35932021120816284765900</v>
      </c>
      <c r="C1176" s="2" t="s">
        <v>10</v>
      </c>
      <c r="D1176" s="2" t="str">
        <f>"杨露"</f>
        <v>杨露</v>
      </c>
      <c r="E1176" s="2" t="str">
        <f t="shared" si="40"/>
        <v>女</v>
      </c>
    </row>
    <row r="1177" spans="1:5" s="1" customFormat="1" ht="34.5" customHeight="1">
      <c r="A1177" s="2">
        <v>1175</v>
      </c>
      <c r="B1177" s="2" t="str">
        <f>"35932021120816462865903"</f>
        <v>35932021120816462865903</v>
      </c>
      <c r="C1177" s="2" t="s">
        <v>10</v>
      </c>
      <c r="D1177" s="2" t="str">
        <f>"毛慧敏"</f>
        <v>毛慧敏</v>
      </c>
      <c r="E1177" s="2" t="str">
        <f t="shared" si="40"/>
        <v>女</v>
      </c>
    </row>
    <row r="1178" spans="1:5" s="1" customFormat="1" ht="34.5" customHeight="1">
      <c r="A1178" s="2">
        <v>1176</v>
      </c>
      <c r="B1178" s="2" t="str">
        <f>"35932021120816490965906"</f>
        <v>35932021120816490965906</v>
      </c>
      <c r="C1178" s="2" t="s">
        <v>10</v>
      </c>
      <c r="D1178" s="2" t="str">
        <f>"张馨文"</f>
        <v>张馨文</v>
      </c>
      <c r="E1178" s="2" t="str">
        <f t="shared" si="40"/>
        <v>女</v>
      </c>
    </row>
    <row r="1179" spans="1:5" s="1" customFormat="1" ht="34.5" customHeight="1">
      <c r="A1179" s="2">
        <v>1177</v>
      </c>
      <c r="B1179" s="2" t="str">
        <f>"35932021120816584165912"</f>
        <v>35932021120816584165912</v>
      </c>
      <c r="C1179" s="2" t="s">
        <v>10</v>
      </c>
      <c r="D1179" s="2" t="str">
        <f>"黄梦"</f>
        <v>黄梦</v>
      </c>
      <c r="E1179" s="2" t="str">
        <f t="shared" si="40"/>
        <v>女</v>
      </c>
    </row>
    <row r="1180" spans="1:5" s="1" customFormat="1" ht="34.5" customHeight="1">
      <c r="A1180" s="2">
        <v>1178</v>
      </c>
      <c r="B1180" s="2" t="str">
        <f>"35932021120817315665929"</f>
        <v>35932021120817315665929</v>
      </c>
      <c r="C1180" s="2" t="s">
        <v>10</v>
      </c>
      <c r="D1180" s="2" t="str">
        <f>"冯文思"</f>
        <v>冯文思</v>
      </c>
      <c r="E1180" s="2" t="str">
        <f t="shared" si="40"/>
        <v>女</v>
      </c>
    </row>
    <row r="1181" spans="1:5" s="1" customFormat="1" ht="34.5" customHeight="1">
      <c r="A1181" s="2">
        <v>1179</v>
      </c>
      <c r="B1181" s="2" t="str">
        <f>"35932021120817391765934"</f>
        <v>35932021120817391765934</v>
      </c>
      <c r="C1181" s="2" t="s">
        <v>10</v>
      </c>
      <c r="D1181" s="2" t="str">
        <f>"符致远"</f>
        <v>符致远</v>
      </c>
      <c r="E1181" s="2" t="str">
        <f>"男"</f>
        <v>男</v>
      </c>
    </row>
    <row r="1182" spans="1:5" s="1" customFormat="1" ht="34.5" customHeight="1">
      <c r="A1182" s="2">
        <v>1180</v>
      </c>
      <c r="B1182" s="2" t="str">
        <f>"35932021120817503265940"</f>
        <v>35932021120817503265940</v>
      </c>
      <c r="C1182" s="2" t="s">
        <v>10</v>
      </c>
      <c r="D1182" s="2" t="str">
        <f>"王浪"</f>
        <v>王浪</v>
      </c>
      <c r="E1182" s="2" t="str">
        <f>"女"</f>
        <v>女</v>
      </c>
    </row>
    <row r="1183" spans="1:5" s="1" customFormat="1" ht="34.5" customHeight="1">
      <c r="A1183" s="2">
        <v>1181</v>
      </c>
      <c r="B1183" s="2" t="str">
        <f>"35932021120818084365947"</f>
        <v>35932021120818084365947</v>
      </c>
      <c r="C1183" s="2" t="s">
        <v>10</v>
      </c>
      <c r="D1183" s="2" t="str">
        <f>"王式娃"</f>
        <v>王式娃</v>
      </c>
      <c r="E1183" s="2" t="str">
        <f>"女"</f>
        <v>女</v>
      </c>
    </row>
    <row r="1184" spans="1:5" s="1" customFormat="1" ht="34.5" customHeight="1">
      <c r="A1184" s="2">
        <v>1182</v>
      </c>
      <c r="B1184" s="2" t="str">
        <f>"35932021120818154465950"</f>
        <v>35932021120818154465950</v>
      </c>
      <c r="C1184" s="2" t="s">
        <v>10</v>
      </c>
      <c r="D1184" s="2" t="str">
        <f>"陈永帅"</f>
        <v>陈永帅</v>
      </c>
      <c r="E1184" s="2" t="str">
        <f>"男"</f>
        <v>男</v>
      </c>
    </row>
    <row r="1185" spans="1:5" s="1" customFormat="1" ht="34.5" customHeight="1">
      <c r="A1185" s="2">
        <v>1183</v>
      </c>
      <c r="B1185" s="2" t="str">
        <f>"35932021120819173665970"</f>
        <v>35932021120819173665970</v>
      </c>
      <c r="C1185" s="2" t="s">
        <v>10</v>
      </c>
      <c r="D1185" s="2" t="str">
        <f>"盛皓然"</f>
        <v>盛皓然</v>
      </c>
      <c r="E1185" s="2" t="str">
        <f>"男"</f>
        <v>男</v>
      </c>
    </row>
    <row r="1186" spans="1:5" s="1" customFormat="1" ht="34.5" customHeight="1">
      <c r="A1186" s="2">
        <v>1184</v>
      </c>
      <c r="B1186" s="2" t="str">
        <f>"35932021120819542165985"</f>
        <v>35932021120819542165985</v>
      </c>
      <c r="C1186" s="2" t="s">
        <v>10</v>
      </c>
      <c r="D1186" s="2" t="str">
        <f>"黎明馨"</f>
        <v>黎明馨</v>
      </c>
      <c r="E1186" s="2" t="str">
        <f aca="true" t="shared" si="41" ref="E1186:E1201">"女"</f>
        <v>女</v>
      </c>
    </row>
    <row r="1187" spans="1:5" s="1" customFormat="1" ht="34.5" customHeight="1">
      <c r="A1187" s="2">
        <v>1185</v>
      </c>
      <c r="B1187" s="2" t="str">
        <f>"35932021120819580965988"</f>
        <v>35932021120819580965988</v>
      </c>
      <c r="C1187" s="2" t="s">
        <v>10</v>
      </c>
      <c r="D1187" s="2" t="str">
        <f>"黄颖"</f>
        <v>黄颖</v>
      </c>
      <c r="E1187" s="2" t="str">
        <f t="shared" si="41"/>
        <v>女</v>
      </c>
    </row>
    <row r="1188" spans="1:5" s="1" customFormat="1" ht="34.5" customHeight="1">
      <c r="A1188" s="2">
        <v>1186</v>
      </c>
      <c r="B1188" s="2" t="str">
        <f>"35932021120820070665991"</f>
        <v>35932021120820070665991</v>
      </c>
      <c r="C1188" s="2" t="s">
        <v>10</v>
      </c>
      <c r="D1188" s="2" t="str">
        <f>"王燕平"</f>
        <v>王燕平</v>
      </c>
      <c r="E1188" s="2" t="str">
        <f t="shared" si="41"/>
        <v>女</v>
      </c>
    </row>
    <row r="1189" spans="1:5" s="1" customFormat="1" ht="34.5" customHeight="1">
      <c r="A1189" s="2">
        <v>1187</v>
      </c>
      <c r="B1189" s="2" t="str">
        <f>"35932021120820355166004"</f>
        <v>35932021120820355166004</v>
      </c>
      <c r="C1189" s="2" t="s">
        <v>10</v>
      </c>
      <c r="D1189" s="2" t="str">
        <f>"莫雪婷"</f>
        <v>莫雪婷</v>
      </c>
      <c r="E1189" s="2" t="str">
        <f t="shared" si="41"/>
        <v>女</v>
      </c>
    </row>
    <row r="1190" spans="1:5" s="1" customFormat="1" ht="34.5" customHeight="1">
      <c r="A1190" s="2">
        <v>1188</v>
      </c>
      <c r="B1190" s="2" t="str">
        <f>"35932021120820463166011"</f>
        <v>35932021120820463166011</v>
      </c>
      <c r="C1190" s="2" t="s">
        <v>10</v>
      </c>
      <c r="D1190" s="2" t="str">
        <f>"吴珊珊"</f>
        <v>吴珊珊</v>
      </c>
      <c r="E1190" s="2" t="str">
        <f t="shared" si="41"/>
        <v>女</v>
      </c>
    </row>
    <row r="1191" spans="1:5" s="1" customFormat="1" ht="34.5" customHeight="1">
      <c r="A1191" s="2">
        <v>1189</v>
      </c>
      <c r="B1191" s="2" t="str">
        <f>"35932021120821065466027"</f>
        <v>35932021120821065466027</v>
      </c>
      <c r="C1191" s="2" t="s">
        <v>10</v>
      </c>
      <c r="D1191" s="2" t="str">
        <f>"曾珍"</f>
        <v>曾珍</v>
      </c>
      <c r="E1191" s="2" t="str">
        <f t="shared" si="41"/>
        <v>女</v>
      </c>
    </row>
    <row r="1192" spans="1:5" s="1" customFormat="1" ht="34.5" customHeight="1">
      <c r="A1192" s="2">
        <v>1190</v>
      </c>
      <c r="B1192" s="2" t="str">
        <f>"35932021120821465266050"</f>
        <v>35932021120821465266050</v>
      </c>
      <c r="C1192" s="2" t="s">
        <v>10</v>
      </c>
      <c r="D1192" s="2" t="str">
        <f>"李植檬"</f>
        <v>李植檬</v>
      </c>
      <c r="E1192" s="2" t="str">
        <f t="shared" si="41"/>
        <v>女</v>
      </c>
    </row>
    <row r="1193" spans="1:5" s="1" customFormat="1" ht="34.5" customHeight="1">
      <c r="A1193" s="2">
        <v>1191</v>
      </c>
      <c r="B1193" s="2" t="str">
        <f>"35932021120821480566052"</f>
        <v>35932021120821480566052</v>
      </c>
      <c r="C1193" s="2" t="s">
        <v>10</v>
      </c>
      <c r="D1193" s="2" t="str">
        <f>"王姑梅"</f>
        <v>王姑梅</v>
      </c>
      <c r="E1193" s="2" t="str">
        <f t="shared" si="41"/>
        <v>女</v>
      </c>
    </row>
    <row r="1194" spans="1:5" s="1" customFormat="1" ht="34.5" customHeight="1">
      <c r="A1194" s="2">
        <v>1192</v>
      </c>
      <c r="B1194" s="2" t="str">
        <f>"35932021120821514466053"</f>
        <v>35932021120821514466053</v>
      </c>
      <c r="C1194" s="2" t="s">
        <v>10</v>
      </c>
      <c r="D1194" s="2" t="str">
        <f>"陈莹"</f>
        <v>陈莹</v>
      </c>
      <c r="E1194" s="2" t="str">
        <f t="shared" si="41"/>
        <v>女</v>
      </c>
    </row>
    <row r="1195" spans="1:5" s="1" customFormat="1" ht="34.5" customHeight="1">
      <c r="A1195" s="2">
        <v>1193</v>
      </c>
      <c r="B1195" s="2" t="str">
        <f>"35932021120822061166059"</f>
        <v>35932021120822061166059</v>
      </c>
      <c r="C1195" s="2" t="s">
        <v>10</v>
      </c>
      <c r="D1195" s="2" t="str">
        <f>"李茜"</f>
        <v>李茜</v>
      </c>
      <c r="E1195" s="2" t="str">
        <f t="shared" si="41"/>
        <v>女</v>
      </c>
    </row>
    <row r="1196" spans="1:5" s="1" customFormat="1" ht="34.5" customHeight="1">
      <c r="A1196" s="2">
        <v>1194</v>
      </c>
      <c r="B1196" s="2" t="str">
        <f>"35932021120822125066061"</f>
        <v>35932021120822125066061</v>
      </c>
      <c r="C1196" s="2" t="s">
        <v>10</v>
      </c>
      <c r="D1196" s="2" t="str">
        <f>"苏月娥"</f>
        <v>苏月娥</v>
      </c>
      <c r="E1196" s="2" t="str">
        <f t="shared" si="41"/>
        <v>女</v>
      </c>
    </row>
    <row r="1197" spans="1:5" s="1" customFormat="1" ht="34.5" customHeight="1">
      <c r="A1197" s="2">
        <v>1195</v>
      </c>
      <c r="B1197" s="2" t="str">
        <f>"35932021120822152766063"</f>
        <v>35932021120822152766063</v>
      </c>
      <c r="C1197" s="2" t="s">
        <v>10</v>
      </c>
      <c r="D1197" s="2" t="str">
        <f>"黎美烨"</f>
        <v>黎美烨</v>
      </c>
      <c r="E1197" s="2" t="str">
        <f t="shared" si="41"/>
        <v>女</v>
      </c>
    </row>
    <row r="1198" spans="1:5" s="1" customFormat="1" ht="34.5" customHeight="1">
      <c r="A1198" s="2">
        <v>1196</v>
      </c>
      <c r="B1198" s="2" t="str">
        <f>"35932021120822190866065"</f>
        <v>35932021120822190866065</v>
      </c>
      <c r="C1198" s="2" t="s">
        <v>10</v>
      </c>
      <c r="D1198" s="2" t="str">
        <f>"林芳"</f>
        <v>林芳</v>
      </c>
      <c r="E1198" s="2" t="str">
        <f t="shared" si="41"/>
        <v>女</v>
      </c>
    </row>
    <row r="1199" spans="1:5" s="1" customFormat="1" ht="34.5" customHeight="1">
      <c r="A1199" s="2">
        <v>1197</v>
      </c>
      <c r="B1199" s="2" t="str">
        <f>"35932021120822303266070"</f>
        <v>35932021120822303266070</v>
      </c>
      <c r="C1199" s="2" t="s">
        <v>10</v>
      </c>
      <c r="D1199" s="2" t="str">
        <f>"符玉秋 "</f>
        <v>符玉秋 </v>
      </c>
      <c r="E1199" s="2" t="str">
        <f t="shared" si="41"/>
        <v>女</v>
      </c>
    </row>
    <row r="1200" spans="1:5" s="1" customFormat="1" ht="34.5" customHeight="1">
      <c r="A1200" s="2">
        <v>1198</v>
      </c>
      <c r="B1200" s="2" t="str">
        <f>"35932021120822353166074"</f>
        <v>35932021120822353166074</v>
      </c>
      <c r="C1200" s="2" t="s">
        <v>10</v>
      </c>
      <c r="D1200" s="2" t="str">
        <f>"郑艳艳"</f>
        <v>郑艳艳</v>
      </c>
      <c r="E1200" s="2" t="str">
        <f t="shared" si="41"/>
        <v>女</v>
      </c>
    </row>
    <row r="1201" spans="1:5" s="1" customFormat="1" ht="34.5" customHeight="1">
      <c r="A1201" s="2">
        <v>1199</v>
      </c>
      <c r="B1201" s="2" t="str">
        <f>"35932021120822562866079"</f>
        <v>35932021120822562866079</v>
      </c>
      <c r="C1201" s="2" t="s">
        <v>10</v>
      </c>
      <c r="D1201" s="2" t="str">
        <f>"李敏"</f>
        <v>李敏</v>
      </c>
      <c r="E1201" s="2" t="str">
        <f t="shared" si="41"/>
        <v>女</v>
      </c>
    </row>
    <row r="1202" spans="1:5" s="1" customFormat="1" ht="34.5" customHeight="1">
      <c r="A1202" s="2">
        <v>1200</v>
      </c>
      <c r="B1202" s="2" t="str">
        <f>"35932021120823575166099"</f>
        <v>35932021120823575166099</v>
      </c>
      <c r="C1202" s="2" t="s">
        <v>10</v>
      </c>
      <c r="D1202" s="2" t="str">
        <f>"钟有鑫"</f>
        <v>钟有鑫</v>
      </c>
      <c r="E1202" s="2" t="str">
        <f>"男"</f>
        <v>男</v>
      </c>
    </row>
    <row r="1203" spans="1:5" s="1" customFormat="1" ht="34.5" customHeight="1">
      <c r="A1203" s="2">
        <v>1201</v>
      </c>
      <c r="B1203" s="2" t="str">
        <f>"35932021120908302566115"</f>
        <v>35932021120908302566115</v>
      </c>
      <c r="C1203" s="2" t="s">
        <v>10</v>
      </c>
      <c r="D1203" s="2" t="str">
        <f>"王钰钧"</f>
        <v>王钰钧</v>
      </c>
      <c r="E1203" s="2" t="str">
        <f>"男"</f>
        <v>男</v>
      </c>
    </row>
    <row r="1204" spans="1:5" s="1" customFormat="1" ht="34.5" customHeight="1">
      <c r="A1204" s="2">
        <v>1202</v>
      </c>
      <c r="B1204" s="2" t="str">
        <f>"35932021120909045466131"</f>
        <v>35932021120909045466131</v>
      </c>
      <c r="C1204" s="2" t="s">
        <v>10</v>
      </c>
      <c r="D1204" s="2" t="str">
        <f>"姚春晖"</f>
        <v>姚春晖</v>
      </c>
      <c r="E1204" s="2" t="str">
        <f aca="true" t="shared" si="42" ref="E1204:E1212">"女"</f>
        <v>女</v>
      </c>
    </row>
    <row r="1205" spans="1:5" s="1" customFormat="1" ht="34.5" customHeight="1">
      <c r="A1205" s="2">
        <v>1203</v>
      </c>
      <c r="B1205" s="2" t="str">
        <f>"35932021120909051666132"</f>
        <v>35932021120909051666132</v>
      </c>
      <c r="C1205" s="2" t="s">
        <v>10</v>
      </c>
      <c r="D1205" s="2" t="str">
        <f>"陈小梦"</f>
        <v>陈小梦</v>
      </c>
      <c r="E1205" s="2" t="str">
        <f t="shared" si="42"/>
        <v>女</v>
      </c>
    </row>
    <row r="1206" spans="1:5" s="1" customFormat="1" ht="34.5" customHeight="1">
      <c r="A1206" s="2">
        <v>1204</v>
      </c>
      <c r="B1206" s="2" t="str">
        <f>"35932021120909255166150"</f>
        <v>35932021120909255166150</v>
      </c>
      <c r="C1206" s="2" t="s">
        <v>10</v>
      </c>
      <c r="D1206" s="2" t="str">
        <f>"严晓蝶"</f>
        <v>严晓蝶</v>
      </c>
      <c r="E1206" s="2" t="str">
        <f t="shared" si="42"/>
        <v>女</v>
      </c>
    </row>
    <row r="1207" spans="1:5" s="1" customFormat="1" ht="34.5" customHeight="1">
      <c r="A1207" s="2">
        <v>1205</v>
      </c>
      <c r="B1207" s="2" t="str">
        <f>"35932021120909263466151"</f>
        <v>35932021120909263466151</v>
      </c>
      <c r="C1207" s="2" t="s">
        <v>10</v>
      </c>
      <c r="D1207" s="2" t="str">
        <f>"韩卓君"</f>
        <v>韩卓君</v>
      </c>
      <c r="E1207" s="2" t="str">
        <f t="shared" si="42"/>
        <v>女</v>
      </c>
    </row>
    <row r="1208" spans="1:5" s="1" customFormat="1" ht="34.5" customHeight="1">
      <c r="A1208" s="2">
        <v>1206</v>
      </c>
      <c r="B1208" s="2" t="str">
        <f>"35932021120909405166159"</f>
        <v>35932021120909405166159</v>
      </c>
      <c r="C1208" s="2" t="s">
        <v>10</v>
      </c>
      <c r="D1208" s="2" t="str">
        <f>"魏明棋"</f>
        <v>魏明棋</v>
      </c>
      <c r="E1208" s="2" t="str">
        <f t="shared" si="42"/>
        <v>女</v>
      </c>
    </row>
    <row r="1209" spans="1:5" s="1" customFormat="1" ht="34.5" customHeight="1">
      <c r="A1209" s="2">
        <v>1207</v>
      </c>
      <c r="B1209" s="2" t="str">
        <f>"35932021120909413666161"</f>
        <v>35932021120909413666161</v>
      </c>
      <c r="C1209" s="2" t="s">
        <v>10</v>
      </c>
      <c r="D1209" s="2" t="str">
        <f>"韩晓明"</f>
        <v>韩晓明</v>
      </c>
      <c r="E1209" s="2" t="str">
        <f t="shared" si="42"/>
        <v>女</v>
      </c>
    </row>
    <row r="1210" spans="1:5" s="1" customFormat="1" ht="34.5" customHeight="1">
      <c r="A1210" s="2">
        <v>1208</v>
      </c>
      <c r="B1210" s="2" t="str">
        <f>"35932021120909442666164"</f>
        <v>35932021120909442666164</v>
      </c>
      <c r="C1210" s="2" t="s">
        <v>10</v>
      </c>
      <c r="D1210" s="2" t="str">
        <f>"冯步榕"</f>
        <v>冯步榕</v>
      </c>
      <c r="E1210" s="2" t="str">
        <f t="shared" si="42"/>
        <v>女</v>
      </c>
    </row>
    <row r="1211" spans="1:5" s="1" customFormat="1" ht="34.5" customHeight="1">
      <c r="A1211" s="2">
        <v>1209</v>
      </c>
      <c r="B1211" s="2" t="str">
        <f>"35932021120909462866165"</f>
        <v>35932021120909462866165</v>
      </c>
      <c r="C1211" s="2" t="s">
        <v>10</v>
      </c>
      <c r="D1211" s="2" t="str">
        <f>"黄诗诺"</f>
        <v>黄诗诺</v>
      </c>
      <c r="E1211" s="2" t="str">
        <f t="shared" si="42"/>
        <v>女</v>
      </c>
    </row>
    <row r="1212" spans="1:5" s="1" customFormat="1" ht="34.5" customHeight="1">
      <c r="A1212" s="2">
        <v>1210</v>
      </c>
      <c r="B1212" s="2" t="str">
        <f>"35932021120909511966170"</f>
        <v>35932021120909511966170</v>
      </c>
      <c r="C1212" s="2" t="s">
        <v>10</v>
      </c>
      <c r="D1212" s="2" t="str">
        <f>"陈虹"</f>
        <v>陈虹</v>
      </c>
      <c r="E1212" s="2" t="str">
        <f t="shared" si="42"/>
        <v>女</v>
      </c>
    </row>
    <row r="1213" spans="1:5" s="1" customFormat="1" ht="34.5" customHeight="1">
      <c r="A1213" s="2">
        <v>1211</v>
      </c>
      <c r="B1213" s="2" t="str">
        <f>"35932021120910134266180"</f>
        <v>35932021120910134266180</v>
      </c>
      <c r="C1213" s="2" t="s">
        <v>10</v>
      </c>
      <c r="D1213" s="2" t="str">
        <f>"王韵凯"</f>
        <v>王韵凯</v>
      </c>
      <c r="E1213" s="2" t="str">
        <f>"男"</f>
        <v>男</v>
      </c>
    </row>
    <row r="1214" spans="1:5" s="1" customFormat="1" ht="34.5" customHeight="1">
      <c r="A1214" s="2">
        <v>1212</v>
      </c>
      <c r="B1214" s="2" t="str">
        <f>"35932021120910202766183"</f>
        <v>35932021120910202766183</v>
      </c>
      <c r="C1214" s="2" t="s">
        <v>10</v>
      </c>
      <c r="D1214" s="2" t="str">
        <f>"伍承杰"</f>
        <v>伍承杰</v>
      </c>
      <c r="E1214" s="2" t="str">
        <f aca="true" t="shared" si="43" ref="E1214:E1219">"女"</f>
        <v>女</v>
      </c>
    </row>
    <row r="1215" spans="1:5" s="1" customFormat="1" ht="34.5" customHeight="1">
      <c r="A1215" s="2">
        <v>1213</v>
      </c>
      <c r="B1215" s="2" t="str">
        <f>"35932021120910285466191"</f>
        <v>35932021120910285466191</v>
      </c>
      <c r="C1215" s="2" t="s">
        <v>10</v>
      </c>
      <c r="D1215" s="2" t="str">
        <f>"颜小青"</f>
        <v>颜小青</v>
      </c>
      <c r="E1215" s="2" t="str">
        <f t="shared" si="43"/>
        <v>女</v>
      </c>
    </row>
    <row r="1216" spans="1:5" s="1" customFormat="1" ht="34.5" customHeight="1">
      <c r="A1216" s="2">
        <v>1214</v>
      </c>
      <c r="B1216" s="2" t="str">
        <f>"35932021120910315466193"</f>
        <v>35932021120910315466193</v>
      </c>
      <c r="C1216" s="2" t="s">
        <v>10</v>
      </c>
      <c r="D1216" s="2" t="str">
        <f>"靳安馨"</f>
        <v>靳安馨</v>
      </c>
      <c r="E1216" s="2" t="str">
        <f t="shared" si="43"/>
        <v>女</v>
      </c>
    </row>
    <row r="1217" spans="1:5" s="1" customFormat="1" ht="34.5" customHeight="1">
      <c r="A1217" s="2">
        <v>1215</v>
      </c>
      <c r="B1217" s="2" t="str">
        <f>"35932021120910424066197"</f>
        <v>35932021120910424066197</v>
      </c>
      <c r="C1217" s="2" t="s">
        <v>10</v>
      </c>
      <c r="D1217" s="2" t="str">
        <f>"吴海桂"</f>
        <v>吴海桂</v>
      </c>
      <c r="E1217" s="2" t="str">
        <f t="shared" si="43"/>
        <v>女</v>
      </c>
    </row>
    <row r="1218" spans="1:5" s="1" customFormat="1" ht="34.5" customHeight="1">
      <c r="A1218" s="2">
        <v>1216</v>
      </c>
      <c r="B1218" s="2" t="str">
        <f>"35932021120910460466200"</f>
        <v>35932021120910460466200</v>
      </c>
      <c r="C1218" s="2" t="s">
        <v>10</v>
      </c>
      <c r="D1218" s="2" t="str">
        <f>"郑文婷"</f>
        <v>郑文婷</v>
      </c>
      <c r="E1218" s="2" t="str">
        <f t="shared" si="43"/>
        <v>女</v>
      </c>
    </row>
    <row r="1219" spans="1:5" s="1" customFormat="1" ht="34.5" customHeight="1">
      <c r="A1219" s="2">
        <v>1217</v>
      </c>
      <c r="B1219" s="2" t="str">
        <f>"35932021120911381266227"</f>
        <v>35932021120911381266227</v>
      </c>
      <c r="C1219" s="2" t="s">
        <v>10</v>
      </c>
      <c r="D1219" s="2" t="str">
        <f>"钟美珠"</f>
        <v>钟美珠</v>
      </c>
      <c r="E1219" s="2" t="str">
        <f t="shared" si="43"/>
        <v>女</v>
      </c>
    </row>
    <row r="1220" spans="1:5" s="1" customFormat="1" ht="34.5" customHeight="1">
      <c r="A1220" s="2">
        <v>1218</v>
      </c>
      <c r="B1220" s="2" t="str">
        <f>"35932021120911405666229"</f>
        <v>35932021120911405666229</v>
      </c>
      <c r="C1220" s="2" t="s">
        <v>10</v>
      </c>
      <c r="D1220" s="2" t="str">
        <f>"黄世权"</f>
        <v>黄世权</v>
      </c>
      <c r="E1220" s="2" t="str">
        <f>"男"</f>
        <v>男</v>
      </c>
    </row>
    <row r="1221" spans="1:5" s="1" customFormat="1" ht="34.5" customHeight="1">
      <c r="A1221" s="2">
        <v>1219</v>
      </c>
      <c r="B1221" s="2" t="str">
        <f>"35932021120912064266242"</f>
        <v>35932021120912064266242</v>
      </c>
      <c r="C1221" s="2" t="s">
        <v>10</v>
      </c>
      <c r="D1221" s="2" t="str">
        <f>"陈威汝"</f>
        <v>陈威汝</v>
      </c>
      <c r="E1221" s="2" t="str">
        <f>"女"</f>
        <v>女</v>
      </c>
    </row>
    <row r="1222" spans="1:5" s="1" customFormat="1" ht="34.5" customHeight="1">
      <c r="A1222" s="2">
        <v>1220</v>
      </c>
      <c r="B1222" s="2" t="str">
        <f>"35932021120912282666246"</f>
        <v>35932021120912282666246</v>
      </c>
      <c r="C1222" s="2" t="s">
        <v>10</v>
      </c>
      <c r="D1222" s="2" t="str">
        <f>"符丽风"</f>
        <v>符丽风</v>
      </c>
      <c r="E1222" s="2" t="str">
        <f>"女"</f>
        <v>女</v>
      </c>
    </row>
    <row r="1223" spans="1:5" s="1" customFormat="1" ht="34.5" customHeight="1">
      <c r="A1223" s="2">
        <v>1221</v>
      </c>
      <c r="B1223" s="2" t="str">
        <f>"35932021120913133766267"</f>
        <v>35932021120913133766267</v>
      </c>
      <c r="C1223" s="2" t="s">
        <v>10</v>
      </c>
      <c r="D1223" s="2" t="str">
        <f>"黄海静"</f>
        <v>黄海静</v>
      </c>
      <c r="E1223" s="2" t="str">
        <f>"女"</f>
        <v>女</v>
      </c>
    </row>
    <row r="1224" spans="1:5" s="1" customFormat="1" ht="34.5" customHeight="1">
      <c r="A1224" s="2">
        <v>1222</v>
      </c>
      <c r="B1224" s="2" t="str">
        <f>"35932021120914091966278"</f>
        <v>35932021120914091966278</v>
      </c>
      <c r="C1224" s="2" t="s">
        <v>10</v>
      </c>
      <c r="D1224" s="2" t="str">
        <f>"黄达鸣"</f>
        <v>黄达鸣</v>
      </c>
      <c r="E1224" s="2" t="str">
        <f>"男"</f>
        <v>男</v>
      </c>
    </row>
    <row r="1225" spans="1:5" s="1" customFormat="1" ht="34.5" customHeight="1">
      <c r="A1225" s="2">
        <v>1223</v>
      </c>
      <c r="B1225" s="2" t="str">
        <f>"35932021120914143766279"</f>
        <v>35932021120914143766279</v>
      </c>
      <c r="C1225" s="2" t="s">
        <v>10</v>
      </c>
      <c r="D1225" s="2" t="str">
        <f>"李小琴"</f>
        <v>李小琴</v>
      </c>
      <c r="E1225" s="2" t="str">
        <f>"女"</f>
        <v>女</v>
      </c>
    </row>
    <row r="1226" spans="1:5" s="1" customFormat="1" ht="34.5" customHeight="1">
      <c r="A1226" s="2">
        <v>1224</v>
      </c>
      <c r="B1226" s="2" t="str">
        <f>"35932021120914312066286"</f>
        <v>35932021120914312066286</v>
      </c>
      <c r="C1226" s="2" t="s">
        <v>10</v>
      </c>
      <c r="D1226" s="2" t="str">
        <f>"刘兆雄"</f>
        <v>刘兆雄</v>
      </c>
      <c r="E1226" s="2" t="str">
        <f>"男"</f>
        <v>男</v>
      </c>
    </row>
    <row r="1227" spans="1:5" s="1" customFormat="1" ht="34.5" customHeight="1">
      <c r="A1227" s="2">
        <v>1225</v>
      </c>
      <c r="B1227" s="2" t="str">
        <f>"35932021120914351466288"</f>
        <v>35932021120914351466288</v>
      </c>
      <c r="C1227" s="2" t="s">
        <v>10</v>
      </c>
      <c r="D1227" s="2" t="str">
        <f>"严德静"</f>
        <v>严德静</v>
      </c>
      <c r="E1227" s="2" t="str">
        <f>"女"</f>
        <v>女</v>
      </c>
    </row>
    <row r="1228" spans="1:5" s="1" customFormat="1" ht="34.5" customHeight="1">
      <c r="A1228" s="2">
        <v>1226</v>
      </c>
      <c r="B1228" s="2" t="str">
        <f>"35932021120914433166294"</f>
        <v>35932021120914433166294</v>
      </c>
      <c r="C1228" s="2" t="s">
        <v>10</v>
      </c>
      <c r="D1228" s="2" t="str">
        <f>"王婷"</f>
        <v>王婷</v>
      </c>
      <c r="E1228" s="2" t="str">
        <f>"女"</f>
        <v>女</v>
      </c>
    </row>
    <row r="1229" spans="1:5" s="1" customFormat="1" ht="34.5" customHeight="1">
      <c r="A1229" s="2">
        <v>1227</v>
      </c>
      <c r="B1229" s="2" t="str">
        <f>"35932021120915210866311"</f>
        <v>35932021120915210866311</v>
      </c>
      <c r="C1229" s="2" t="s">
        <v>10</v>
      </c>
      <c r="D1229" s="2" t="str">
        <f>"王雪娇"</f>
        <v>王雪娇</v>
      </c>
      <c r="E1229" s="2" t="str">
        <f>"女"</f>
        <v>女</v>
      </c>
    </row>
    <row r="1230" spans="1:5" s="1" customFormat="1" ht="34.5" customHeight="1">
      <c r="A1230" s="2">
        <v>1228</v>
      </c>
      <c r="B1230" s="2" t="str">
        <f>"35932021120915241466314"</f>
        <v>35932021120915241466314</v>
      </c>
      <c r="C1230" s="2" t="s">
        <v>10</v>
      </c>
      <c r="D1230" s="2" t="str">
        <f>"许智鹏"</f>
        <v>许智鹏</v>
      </c>
      <c r="E1230" s="2" t="str">
        <f>"男"</f>
        <v>男</v>
      </c>
    </row>
    <row r="1231" spans="1:5" s="1" customFormat="1" ht="34.5" customHeight="1">
      <c r="A1231" s="2">
        <v>1229</v>
      </c>
      <c r="B1231" s="2" t="str">
        <f>"35932021120915295366318"</f>
        <v>35932021120915295366318</v>
      </c>
      <c r="C1231" s="2" t="s">
        <v>10</v>
      </c>
      <c r="D1231" s="2" t="str">
        <f>"孙昌帝"</f>
        <v>孙昌帝</v>
      </c>
      <c r="E1231" s="2" t="str">
        <f>"男"</f>
        <v>男</v>
      </c>
    </row>
    <row r="1232" spans="1:5" s="1" customFormat="1" ht="34.5" customHeight="1">
      <c r="A1232" s="2">
        <v>1230</v>
      </c>
      <c r="B1232" s="2" t="str">
        <f>"35932021120915384266322"</f>
        <v>35932021120915384266322</v>
      </c>
      <c r="C1232" s="2" t="s">
        <v>10</v>
      </c>
      <c r="D1232" s="2" t="str">
        <f>"王娇雪"</f>
        <v>王娇雪</v>
      </c>
      <c r="E1232" s="2" t="str">
        <f>"女"</f>
        <v>女</v>
      </c>
    </row>
    <row r="1233" spans="1:5" s="1" customFormat="1" ht="34.5" customHeight="1">
      <c r="A1233" s="2">
        <v>1231</v>
      </c>
      <c r="B1233" s="2" t="str">
        <f>"35932021120915412766323"</f>
        <v>35932021120915412766323</v>
      </c>
      <c r="C1233" s="2" t="s">
        <v>10</v>
      </c>
      <c r="D1233" s="2" t="str">
        <f>"童昕烨"</f>
        <v>童昕烨</v>
      </c>
      <c r="E1233" s="2" t="str">
        <f>"女"</f>
        <v>女</v>
      </c>
    </row>
    <row r="1234" spans="1:5" s="1" customFormat="1" ht="34.5" customHeight="1">
      <c r="A1234" s="2">
        <v>1232</v>
      </c>
      <c r="B1234" s="2" t="str">
        <f>"35932021120915493166328"</f>
        <v>35932021120915493166328</v>
      </c>
      <c r="C1234" s="2" t="s">
        <v>10</v>
      </c>
      <c r="D1234" s="2" t="str">
        <f>"李思晓"</f>
        <v>李思晓</v>
      </c>
      <c r="E1234" s="2" t="str">
        <f>"女"</f>
        <v>女</v>
      </c>
    </row>
    <row r="1235" spans="1:5" s="1" customFormat="1" ht="34.5" customHeight="1">
      <c r="A1235" s="2">
        <v>1233</v>
      </c>
      <c r="B1235" s="2" t="str">
        <f>"35932021120915552466329"</f>
        <v>35932021120915552466329</v>
      </c>
      <c r="C1235" s="2" t="s">
        <v>10</v>
      </c>
      <c r="D1235" s="2" t="str">
        <f>"陈百烨"</f>
        <v>陈百烨</v>
      </c>
      <c r="E1235" s="2" t="str">
        <f>"男"</f>
        <v>男</v>
      </c>
    </row>
    <row r="1236" spans="1:5" s="1" customFormat="1" ht="34.5" customHeight="1">
      <c r="A1236" s="2">
        <v>1234</v>
      </c>
      <c r="B1236" s="2" t="str">
        <f>"35932021120915585766332"</f>
        <v>35932021120915585766332</v>
      </c>
      <c r="C1236" s="2" t="s">
        <v>10</v>
      </c>
      <c r="D1236" s="2" t="str">
        <f>"尹朝贤"</f>
        <v>尹朝贤</v>
      </c>
      <c r="E1236" s="2" t="str">
        <f>"女"</f>
        <v>女</v>
      </c>
    </row>
    <row r="1237" spans="1:5" s="1" customFormat="1" ht="34.5" customHeight="1">
      <c r="A1237" s="2">
        <v>1235</v>
      </c>
      <c r="B1237" s="2" t="str">
        <f>"35932021120916061266338"</f>
        <v>35932021120916061266338</v>
      </c>
      <c r="C1237" s="2" t="s">
        <v>10</v>
      </c>
      <c r="D1237" s="2" t="str">
        <f>"刘佳琪"</f>
        <v>刘佳琪</v>
      </c>
      <c r="E1237" s="2" t="str">
        <f>"女"</f>
        <v>女</v>
      </c>
    </row>
    <row r="1238" spans="1:5" s="1" customFormat="1" ht="34.5" customHeight="1">
      <c r="A1238" s="2">
        <v>1236</v>
      </c>
      <c r="B1238" s="2" t="str">
        <f>"35932021120916161566347"</f>
        <v>35932021120916161566347</v>
      </c>
      <c r="C1238" s="2" t="s">
        <v>10</v>
      </c>
      <c r="D1238" s="2" t="str">
        <f>"王槐政"</f>
        <v>王槐政</v>
      </c>
      <c r="E1238" s="2" t="str">
        <f>"男"</f>
        <v>男</v>
      </c>
    </row>
    <row r="1239" spans="1:5" s="1" customFormat="1" ht="34.5" customHeight="1">
      <c r="A1239" s="2">
        <v>1237</v>
      </c>
      <c r="B1239" s="2" t="str">
        <f>"35932021120916171066348"</f>
        <v>35932021120916171066348</v>
      </c>
      <c r="C1239" s="2" t="s">
        <v>10</v>
      </c>
      <c r="D1239" s="2" t="str">
        <f>"周南杏"</f>
        <v>周南杏</v>
      </c>
      <c r="E1239" s="2" t="str">
        <f>"女"</f>
        <v>女</v>
      </c>
    </row>
    <row r="1240" spans="1:5" s="1" customFormat="1" ht="34.5" customHeight="1">
      <c r="A1240" s="2">
        <v>1238</v>
      </c>
      <c r="B1240" s="2" t="str">
        <f>"35932021120916380066362"</f>
        <v>35932021120916380066362</v>
      </c>
      <c r="C1240" s="2" t="s">
        <v>10</v>
      </c>
      <c r="D1240" s="2" t="str">
        <f>"谢亲娇"</f>
        <v>谢亲娇</v>
      </c>
      <c r="E1240" s="2" t="str">
        <f>"女"</f>
        <v>女</v>
      </c>
    </row>
    <row r="1241" spans="1:5" s="1" customFormat="1" ht="34.5" customHeight="1">
      <c r="A1241" s="2">
        <v>1239</v>
      </c>
      <c r="B1241" s="2" t="str">
        <f>"35932021120916481866368"</f>
        <v>35932021120916481866368</v>
      </c>
      <c r="C1241" s="2" t="s">
        <v>10</v>
      </c>
      <c r="D1241" s="2" t="str">
        <f>"谢承龙"</f>
        <v>谢承龙</v>
      </c>
      <c r="E1241" s="2" t="str">
        <f>"男"</f>
        <v>男</v>
      </c>
    </row>
    <row r="1242" spans="1:5" s="1" customFormat="1" ht="34.5" customHeight="1">
      <c r="A1242" s="2">
        <v>1240</v>
      </c>
      <c r="B1242" s="2" t="str">
        <f>"35932021120917064366377"</f>
        <v>35932021120917064366377</v>
      </c>
      <c r="C1242" s="2" t="s">
        <v>10</v>
      </c>
      <c r="D1242" s="2" t="str">
        <f>"李云"</f>
        <v>李云</v>
      </c>
      <c r="E1242" s="2" t="str">
        <f>"女"</f>
        <v>女</v>
      </c>
    </row>
    <row r="1243" spans="1:5" s="1" customFormat="1" ht="34.5" customHeight="1">
      <c r="A1243" s="2">
        <v>1241</v>
      </c>
      <c r="B1243" s="2" t="str">
        <f>"35932021120917070766380"</f>
        <v>35932021120917070766380</v>
      </c>
      <c r="C1243" s="2" t="s">
        <v>10</v>
      </c>
      <c r="D1243" s="2" t="str">
        <f>"王雪冰"</f>
        <v>王雪冰</v>
      </c>
      <c r="E1243" s="2" t="str">
        <f>"女"</f>
        <v>女</v>
      </c>
    </row>
    <row r="1244" spans="1:5" s="1" customFormat="1" ht="34.5" customHeight="1">
      <c r="A1244" s="2">
        <v>1242</v>
      </c>
      <c r="B1244" s="2" t="str">
        <f>"35932021120917255066384"</f>
        <v>35932021120917255066384</v>
      </c>
      <c r="C1244" s="2" t="s">
        <v>10</v>
      </c>
      <c r="D1244" s="2" t="str">
        <f>"赵明甜"</f>
        <v>赵明甜</v>
      </c>
      <c r="E1244" s="2" t="str">
        <f>"女"</f>
        <v>女</v>
      </c>
    </row>
    <row r="1245" spans="1:5" s="1" customFormat="1" ht="34.5" customHeight="1">
      <c r="A1245" s="2">
        <v>1243</v>
      </c>
      <c r="B1245" s="2" t="str">
        <f>"35932021120917485966389"</f>
        <v>35932021120917485966389</v>
      </c>
      <c r="C1245" s="2" t="s">
        <v>10</v>
      </c>
      <c r="D1245" s="2" t="str">
        <f>"王品熙"</f>
        <v>王品熙</v>
      </c>
      <c r="E1245" s="2" t="str">
        <f>"男"</f>
        <v>男</v>
      </c>
    </row>
    <row r="1246" spans="1:5" s="1" customFormat="1" ht="34.5" customHeight="1">
      <c r="A1246" s="2">
        <v>1244</v>
      </c>
      <c r="B1246" s="2" t="str">
        <f>"35932021120918065566397"</f>
        <v>35932021120918065566397</v>
      </c>
      <c r="C1246" s="2" t="s">
        <v>10</v>
      </c>
      <c r="D1246" s="2" t="str">
        <f>"林可盈"</f>
        <v>林可盈</v>
      </c>
      <c r="E1246" s="2" t="str">
        <f>"女"</f>
        <v>女</v>
      </c>
    </row>
    <row r="1247" spans="1:5" s="1" customFormat="1" ht="34.5" customHeight="1">
      <c r="A1247" s="2">
        <v>1245</v>
      </c>
      <c r="B1247" s="2" t="str">
        <f>"35932021120919194166411"</f>
        <v>35932021120919194166411</v>
      </c>
      <c r="C1247" s="2" t="s">
        <v>10</v>
      </c>
      <c r="D1247" s="2" t="str">
        <f>"郭红湖"</f>
        <v>郭红湖</v>
      </c>
      <c r="E1247" s="2" t="str">
        <f>"男"</f>
        <v>男</v>
      </c>
    </row>
    <row r="1248" spans="1:5" s="1" customFormat="1" ht="34.5" customHeight="1">
      <c r="A1248" s="2">
        <v>1246</v>
      </c>
      <c r="B1248" s="2" t="str">
        <f>"35932021120919345566415"</f>
        <v>35932021120919345566415</v>
      </c>
      <c r="C1248" s="2" t="s">
        <v>10</v>
      </c>
      <c r="D1248" s="2" t="str">
        <f>"郑桔鸾"</f>
        <v>郑桔鸾</v>
      </c>
      <c r="E1248" s="2" t="str">
        <f>"女"</f>
        <v>女</v>
      </c>
    </row>
    <row r="1249" spans="1:5" s="1" customFormat="1" ht="34.5" customHeight="1">
      <c r="A1249" s="2">
        <v>1247</v>
      </c>
      <c r="B1249" s="2" t="str">
        <f>"35932021120919352766417"</f>
        <v>35932021120919352766417</v>
      </c>
      <c r="C1249" s="2" t="s">
        <v>10</v>
      </c>
      <c r="D1249" s="2" t="str">
        <f>"张璇"</f>
        <v>张璇</v>
      </c>
      <c r="E1249" s="2" t="str">
        <f>"女"</f>
        <v>女</v>
      </c>
    </row>
    <row r="1250" spans="1:5" s="1" customFormat="1" ht="34.5" customHeight="1">
      <c r="A1250" s="2">
        <v>1248</v>
      </c>
      <c r="B1250" s="2" t="str">
        <f>"35932021120919435766421"</f>
        <v>35932021120919435766421</v>
      </c>
      <c r="C1250" s="2" t="s">
        <v>10</v>
      </c>
      <c r="D1250" s="2" t="str">
        <f>"彭慧贞"</f>
        <v>彭慧贞</v>
      </c>
      <c r="E1250" s="2" t="str">
        <f>"女"</f>
        <v>女</v>
      </c>
    </row>
    <row r="1251" spans="1:5" s="1" customFormat="1" ht="34.5" customHeight="1">
      <c r="A1251" s="2">
        <v>1249</v>
      </c>
      <c r="B1251" s="2" t="str">
        <f>"35932021120920112366427"</f>
        <v>35932021120920112366427</v>
      </c>
      <c r="C1251" s="2" t="s">
        <v>10</v>
      </c>
      <c r="D1251" s="2" t="str">
        <f>"王文倩"</f>
        <v>王文倩</v>
      </c>
      <c r="E1251" s="2" t="str">
        <f>"女"</f>
        <v>女</v>
      </c>
    </row>
    <row r="1252" spans="1:5" s="1" customFormat="1" ht="34.5" customHeight="1">
      <c r="A1252" s="2">
        <v>1250</v>
      </c>
      <c r="B1252" s="2" t="str">
        <f>"35932021120920143266429"</f>
        <v>35932021120920143266429</v>
      </c>
      <c r="C1252" s="2" t="s">
        <v>10</v>
      </c>
      <c r="D1252" s="2" t="str">
        <f>"廖帅"</f>
        <v>廖帅</v>
      </c>
      <c r="E1252" s="2" t="str">
        <f>"男"</f>
        <v>男</v>
      </c>
    </row>
    <row r="1253" spans="1:5" s="1" customFormat="1" ht="34.5" customHeight="1">
      <c r="A1253" s="2">
        <v>1251</v>
      </c>
      <c r="B1253" s="2" t="str">
        <f>"35932021120920181066430"</f>
        <v>35932021120920181066430</v>
      </c>
      <c r="C1253" s="2" t="s">
        <v>10</v>
      </c>
      <c r="D1253" s="2" t="str">
        <f>"符懿运"</f>
        <v>符懿运</v>
      </c>
      <c r="E1253" s="2" t="str">
        <f>"男"</f>
        <v>男</v>
      </c>
    </row>
    <row r="1254" spans="1:5" s="1" customFormat="1" ht="34.5" customHeight="1">
      <c r="A1254" s="2">
        <v>1252</v>
      </c>
      <c r="B1254" s="2" t="str">
        <f>"35932021120920233166432"</f>
        <v>35932021120920233166432</v>
      </c>
      <c r="C1254" s="2" t="s">
        <v>10</v>
      </c>
      <c r="D1254" s="2" t="str">
        <f>"符小丽"</f>
        <v>符小丽</v>
      </c>
      <c r="E1254" s="2" t="str">
        <f>"女"</f>
        <v>女</v>
      </c>
    </row>
    <row r="1255" spans="1:5" s="1" customFormat="1" ht="34.5" customHeight="1">
      <c r="A1255" s="2">
        <v>1253</v>
      </c>
      <c r="B1255" s="2" t="str">
        <f>"35932021120920440166440"</f>
        <v>35932021120920440166440</v>
      </c>
      <c r="C1255" s="2" t="s">
        <v>10</v>
      </c>
      <c r="D1255" s="2" t="str">
        <f>"周志锐"</f>
        <v>周志锐</v>
      </c>
      <c r="E1255" s="2" t="str">
        <f>"男"</f>
        <v>男</v>
      </c>
    </row>
    <row r="1256" spans="1:5" s="1" customFormat="1" ht="34.5" customHeight="1">
      <c r="A1256" s="2">
        <v>1254</v>
      </c>
      <c r="B1256" s="2" t="str">
        <f>"35932021120921031466447"</f>
        <v>35932021120921031466447</v>
      </c>
      <c r="C1256" s="2" t="s">
        <v>10</v>
      </c>
      <c r="D1256" s="2" t="str">
        <f>"冯敏敏"</f>
        <v>冯敏敏</v>
      </c>
      <c r="E1256" s="2" t="str">
        <f>"女"</f>
        <v>女</v>
      </c>
    </row>
    <row r="1257" spans="1:5" s="1" customFormat="1" ht="34.5" customHeight="1">
      <c r="A1257" s="2">
        <v>1255</v>
      </c>
      <c r="B1257" s="2" t="str">
        <f>"35932021120921343566458"</f>
        <v>35932021120921343566458</v>
      </c>
      <c r="C1257" s="2" t="s">
        <v>10</v>
      </c>
      <c r="D1257" s="2" t="str">
        <f>"李德裘"</f>
        <v>李德裘</v>
      </c>
      <c r="E1257" s="2" t="str">
        <f>"男"</f>
        <v>男</v>
      </c>
    </row>
    <row r="1258" spans="1:5" s="1" customFormat="1" ht="34.5" customHeight="1">
      <c r="A1258" s="2">
        <v>1256</v>
      </c>
      <c r="B1258" s="2" t="str">
        <f>"35932021120921482266465"</f>
        <v>35932021120921482266465</v>
      </c>
      <c r="C1258" s="2" t="s">
        <v>10</v>
      </c>
      <c r="D1258" s="2" t="str">
        <f>"黄淑娴"</f>
        <v>黄淑娴</v>
      </c>
      <c r="E1258" s="2" t="str">
        <f>"女"</f>
        <v>女</v>
      </c>
    </row>
    <row r="1259" spans="1:5" s="1" customFormat="1" ht="34.5" customHeight="1">
      <c r="A1259" s="2">
        <v>1257</v>
      </c>
      <c r="B1259" s="2" t="str">
        <f>"35932021120922071666468"</f>
        <v>35932021120922071666468</v>
      </c>
      <c r="C1259" s="2" t="s">
        <v>10</v>
      </c>
      <c r="D1259" s="2" t="str">
        <f>"张丽娜"</f>
        <v>张丽娜</v>
      </c>
      <c r="E1259" s="2" t="str">
        <f>"女"</f>
        <v>女</v>
      </c>
    </row>
    <row r="1260" spans="1:5" s="1" customFormat="1" ht="34.5" customHeight="1">
      <c r="A1260" s="2">
        <v>1258</v>
      </c>
      <c r="B1260" s="2" t="str">
        <f>"35932021120922330266473"</f>
        <v>35932021120922330266473</v>
      </c>
      <c r="C1260" s="2" t="s">
        <v>10</v>
      </c>
      <c r="D1260" s="2" t="str">
        <f>"黄少雅"</f>
        <v>黄少雅</v>
      </c>
      <c r="E1260" s="2" t="str">
        <f>"女"</f>
        <v>女</v>
      </c>
    </row>
    <row r="1261" spans="1:5" s="1" customFormat="1" ht="34.5" customHeight="1">
      <c r="A1261" s="2">
        <v>1259</v>
      </c>
      <c r="B1261" s="2" t="str">
        <f>"35932021121009111566499"</f>
        <v>35932021121009111566499</v>
      </c>
      <c r="C1261" s="2" t="s">
        <v>10</v>
      </c>
      <c r="D1261" s="2" t="str">
        <f>"曾艺婕"</f>
        <v>曾艺婕</v>
      </c>
      <c r="E1261" s="2" t="str">
        <f>"女"</f>
        <v>女</v>
      </c>
    </row>
    <row r="1262" spans="1:5" s="1" customFormat="1" ht="34.5" customHeight="1">
      <c r="A1262" s="2">
        <v>1260</v>
      </c>
      <c r="B1262" s="2" t="str">
        <f>"35932021121009191266501"</f>
        <v>35932021121009191266501</v>
      </c>
      <c r="C1262" s="2" t="s">
        <v>10</v>
      </c>
      <c r="D1262" s="2" t="str">
        <f>"林青柳"</f>
        <v>林青柳</v>
      </c>
      <c r="E1262" s="2" t="str">
        <f>"女"</f>
        <v>女</v>
      </c>
    </row>
    <row r="1263" spans="1:5" s="1" customFormat="1" ht="34.5" customHeight="1">
      <c r="A1263" s="2">
        <v>1261</v>
      </c>
      <c r="B1263" s="2" t="str">
        <f>"35932021121009192766502"</f>
        <v>35932021121009192766502</v>
      </c>
      <c r="C1263" s="2" t="s">
        <v>10</v>
      </c>
      <c r="D1263" s="2" t="str">
        <f>"吴长峰"</f>
        <v>吴长峰</v>
      </c>
      <c r="E1263" s="2" t="str">
        <f>"男"</f>
        <v>男</v>
      </c>
    </row>
    <row r="1264" spans="1:5" s="1" customFormat="1" ht="34.5" customHeight="1">
      <c r="A1264" s="2">
        <v>1262</v>
      </c>
      <c r="B1264" s="2" t="str">
        <f>"35932021121009441966504"</f>
        <v>35932021121009441966504</v>
      </c>
      <c r="C1264" s="2" t="s">
        <v>10</v>
      </c>
      <c r="D1264" s="2" t="str">
        <f>"陈巧艺"</f>
        <v>陈巧艺</v>
      </c>
      <c r="E1264" s="2" t="str">
        <f aca="true" t="shared" si="44" ref="E1264:E1280">"女"</f>
        <v>女</v>
      </c>
    </row>
    <row r="1265" spans="1:5" s="1" customFormat="1" ht="34.5" customHeight="1">
      <c r="A1265" s="2">
        <v>1263</v>
      </c>
      <c r="B1265" s="2" t="str">
        <f>"35932021121009522866507"</f>
        <v>35932021121009522866507</v>
      </c>
      <c r="C1265" s="2" t="s">
        <v>10</v>
      </c>
      <c r="D1265" s="2" t="str">
        <f>"莫祺"</f>
        <v>莫祺</v>
      </c>
      <c r="E1265" s="2" t="str">
        <f t="shared" si="44"/>
        <v>女</v>
      </c>
    </row>
    <row r="1266" spans="1:5" s="1" customFormat="1" ht="34.5" customHeight="1">
      <c r="A1266" s="2">
        <v>1264</v>
      </c>
      <c r="B1266" s="2" t="str">
        <f>"35932021121009580266509"</f>
        <v>35932021121009580266509</v>
      </c>
      <c r="C1266" s="2" t="s">
        <v>10</v>
      </c>
      <c r="D1266" s="2" t="str">
        <f>"龙小丹"</f>
        <v>龙小丹</v>
      </c>
      <c r="E1266" s="2" t="str">
        <f t="shared" si="44"/>
        <v>女</v>
      </c>
    </row>
    <row r="1267" spans="1:5" s="1" customFormat="1" ht="34.5" customHeight="1">
      <c r="A1267" s="2">
        <v>1265</v>
      </c>
      <c r="B1267" s="2" t="str">
        <f>"35932021121009593066510"</f>
        <v>35932021121009593066510</v>
      </c>
      <c r="C1267" s="2" t="s">
        <v>10</v>
      </c>
      <c r="D1267" s="2" t="str">
        <f>"陈婷"</f>
        <v>陈婷</v>
      </c>
      <c r="E1267" s="2" t="str">
        <f t="shared" si="44"/>
        <v>女</v>
      </c>
    </row>
    <row r="1268" spans="1:5" s="1" customFormat="1" ht="34.5" customHeight="1">
      <c r="A1268" s="2">
        <v>1266</v>
      </c>
      <c r="B1268" s="2" t="str">
        <f>"35932021121010024366512"</f>
        <v>35932021121010024366512</v>
      </c>
      <c r="C1268" s="2" t="s">
        <v>10</v>
      </c>
      <c r="D1268" s="2" t="str">
        <f>"郭于婷"</f>
        <v>郭于婷</v>
      </c>
      <c r="E1268" s="2" t="str">
        <f t="shared" si="44"/>
        <v>女</v>
      </c>
    </row>
    <row r="1269" spans="1:5" s="1" customFormat="1" ht="34.5" customHeight="1">
      <c r="A1269" s="2">
        <v>1267</v>
      </c>
      <c r="B1269" s="2" t="str">
        <f>"35932021121010084666513"</f>
        <v>35932021121010084666513</v>
      </c>
      <c r="C1269" s="2" t="s">
        <v>10</v>
      </c>
      <c r="D1269" s="2" t="str">
        <f>"羊秋雁"</f>
        <v>羊秋雁</v>
      </c>
      <c r="E1269" s="2" t="str">
        <f t="shared" si="44"/>
        <v>女</v>
      </c>
    </row>
    <row r="1270" spans="1:5" s="1" customFormat="1" ht="34.5" customHeight="1">
      <c r="A1270" s="2">
        <v>1268</v>
      </c>
      <c r="B1270" s="2" t="str">
        <f>"35932021121010125866515"</f>
        <v>35932021121010125866515</v>
      </c>
      <c r="C1270" s="2" t="s">
        <v>10</v>
      </c>
      <c r="D1270" s="2" t="str">
        <f>"李贤彩"</f>
        <v>李贤彩</v>
      </c>
      <c r="E1270" s="2" t="str">
        <f t="shared" si="44"/>
        <v>女</v>
      </c>
    </row>
    <row r="1271" spans="1:5" s="1" customFormat="1" ht="34.5" customHeight="1">
      <c r="A1271" s="2">
        <v>1269</v>
      </c>
      <c r="B1271" s="2" t="str">
        <f>"35932021121010133566517"</f>
        <v>35932021121010133566517</v>
      </c>
      <c r="C1271" s="2" t="s">
        <v>10</v>
      </c>
      <c r="D1271" s="2" t="str">
        <f>"郑月琴"</f>
        <v>郑月琴</v>
      </c>
      <c r="E1271" s="2" t="str">
        <f t="shared" si="44"/>
        <v>女</v>
      </c>
    </row>
    <row r="1272" spans="1:5" s="1" customFormat="1" ht="34.5" customHeight="1">
      <c r="A1272" s="2">
        <v>1270</v>
      </c>
      <c r="B1272" s="2" t="str">
        <f>"35932021121010205266525"</f>
        <v>35932021121010205266525</v>
      </c>
      <c r="C1272" s="2" t="s">
        <v>10</v>
      </c>
      <c r="D1272" s="2" t="str">
        <f>"谢秋池"</f>
        <v>谢秋池</v>
      </c>
      <c r="E1272" s="2" t="str">
        <f t="shared" si="44"/>
        <v>女</v>
      </c>
    </row>
    <row r="1273" spans="1:5" s="1" customFormat="1" ht="34.5" customHeight="1">
      <c r="A1273" s="2">
        <v>1271</v>
      </c>
      <c r="B1273" s="2" t="str">
        <f>"35932021121010274366528"</f>
        <v>35932021121010274366528</v>
      </c>
      <c r="C1273" s="2" t="s">
        <v>10</v>
      </c>
      <c r="D1273" s="2" t="str">
        <f>"陈亭夙"</f>
        <v>陈亭夙</v>
      </c>
      <c r="E1273" s="2" t="str">
        <f t="shared" si="44"/>
        <v>女</v>
      </c>
    </row>
    <row r="1274" spans="1:5" s="1" customFormat="1" ht="34.5" customHeight="1">
      <c r="A1274" s="2">
        <v>1272</v>
      </c>
      <c r="B1274" s="2" t="str">
        <f>"35932021121010304966530"</f>
        <v>35932021121010304966530</v>
      </c>
      <c r="C1274" s="2" t="s">
        <v>10</v>
      </c>
      <c r="D1274" s="2" t="str">
        <f>"单小芬"</f>
        <v>单小芬</v>
      </c>
      <c r="E1274" s="2" t="str">
        <f t="shared" si="44"/>
        <v>女</v>
      </c>
    </row>
    <row r="1275" spans="1:5" s="1" customFormat="1" ht="34.5" customHeight="1">
      <c r="A1275" s="2">
        <v>1273</v>
      </c>
      <c r="B1275" s="2" t="str">
        <f>"35932021121010313666531"</f>
        <v>35932021121010313666531</v>
      </c>
      <c r="C1275" s="2" t="s">
        <v>10</v>
      </c>
      <c r="D1275" s="2" t="str">
        <f>"林彩虹"</f>
        <v>林彩虹</v>
      </c>
      <c r="E1275" s="2" t="str">
        <f t="shared" si="44"/>
        <v>女</v>
      </c>
    </row>
    <row r="1276" spans="1:5" s="1" customFormat="1" ht="34.5" customHeight="1">
      <c r="A1276" s="2">
        <v>1274</v>
      </c>
      <c r="B1276" s="2" t="str">
        <f>"35932021121010371566536"</f>
        <v>35932021121010371566536</v>
      </c>
      <c r="C1276" s="2" t="s">
        <v>10</v>
      </c>
      <c r="D1276" s="2" t="str">
        <f>"李穗"</f>
        <v>李穗</v>
      </c>
      <c r="E1276" s="2" t="str">
        <f t="shared" si="44"/>
        <v>女</v>
      </c>
    </row>
    <row r="1277" spans="1:5" s="1" customFormat="1" ht="34.5" customHeight="1">
      <c r="A1277" s="2">
        <v>1275</v>
      </c>
      <c r="B1277" s="2" t="str">
        <f>"35932021121010422366538"</f>
        <v>35932021121010422366538</v>
      </c>
      <c r="C1277" s="2" t="s">
        <v>10</v>
      </c>
      <c r="D1277" s="2" t="str">
        <f>"王雯雯"</f>
        <v>王雯雯</v>
      </c>
      <c r="E1277" s="2" t="str">
        <f t="shared" si="44"/>
        <v>女</v>
      </c>
    </row>
    <row r="1278" spans="1:5" s="1" customFormat="1" ht="34.5" customHeight="1">
      <c r="A1278" s="2">
        <v>1276</v>
      </c>
      <c r="B1278" s="2" t="str">
        <f>"35932021121010541066543"</f>
        <v>35932021121010541066543</v>
      </c>
      <c r="C1278" s="2" t="s">
        <v>10</v>
      </c>
      <c r="D1278" s="2" t="str">
        <f>"冯珊"</f>
        <v>冯珊</v>
      </c>
      <c r="E1278" s="2" t="str">
        <f t="shared" si="44"/>
        <v>女</v>
      </c>
    </row>
    <row r="1279" spans="1:5" s="1" customFormat="1" ht="34.5" customHeight="1">
      <c r="A1279" s="2">
        <v>1277</v>
      </c>
      <c r="B1279" s="2" t="str">
        <f>"35932021121011141166561"</f>
        <v>35932021121011141166561</v>
      </c>
      <c r="C1279" s="2" t="s">
        <v>10</v>
      </c>
      <c r="D1279" s="2" t="str">
        <f>"王玲"</f>
        <v>王玲</v>
      </c>
      <c r="E1279" s="2" t="str">
        <f t="shared" si="44"/>
        <v>女</v>
      </c>
    </row>
    <row r="1280" spans="1:5" s="1" customFormat="1" ht="34.5" customHeight="1">
      <c r="A1280" s="2">
        <v>1278</v>
      </c>
      <c r="B1280" s="2" t="str">
        <f>"35932021121012000866574"</f>
        <v>35932021121012000866574</v>
      </c>
      <c r="C1280" s="2" t="s">
        <v>10</v>
      </c>
      <c r="D1280" s="2" t="str">
        <f>"王小柳"</f>
        <v>王小柳</v>
      </c>
      <c r="E1280" s="2" t="str">
        <f t="shared" si="44"/>
        <v>女</v>
      </c>
    </row>
    <row r="1281" spans="1:5" s="1" customFormat="1" ht="34.5" customHeight="1">
      <c r="A1281" s="2">
        <v>1279</v>
      </c>
      <c r="B1281" s="2" t="str">
        <f>"35932021121012301966582"</f>
        <v>35932021121012301966582</v>
      </c>
      <c r="C1281" s="2" t="s">
        <v>10</v>
      </c>
      <c r="D1281" s="2" t="str">
        <f>"黄崇宁"</f>
        <v>黄崇宁</v>
      </c>
      <c r="E1281" s="2" t="str">
        <f>"男"</f>
        <v>男</v>
      </c>
    </row>
    <row r="1282" spans="1:5" s="1" customFormat="1" ht="34.5" customHeight="1">
      <c r="A1282" s="2">
        <v>1280</v>
      </c>
      <c r="B1282" s="2" t="str">
        <f>"35932021121012325466584"</f>
        <v>35932021121012325466584</v>
      </c>
      <c r="C1282" s="2" t="s">
        <v>10</v>
      </c>
      <c r="D1282" s="2" t="str">
        <f>"黄晗睿"</f>
        <v>黄晗睿</v>
      </c>
      <c r="E1282" s="2" t="str">
        <f aca="true" t="shared" si="45" ref="E1282:E1291">"女"</f>
        <v>女</v>
      </c>
    </row>
    <row r="1283" spans="1:5" s="1" customFormat="1" ht="34.5" customHeight="1">
      <c r="A1283" s="2">
        <v>1281</v>
      </c>
      <c r="B1283" s="2" t="str">
        <f>"35932021121012381666586"</f>
        <v>35932021121012381666586</v>
      </c>
      <c r="C1283" s="2" t="s">
        <v>10</v>
      </c>
      <c r="D1283" s="2" t="str">
        <f>"金柯"</f>
        <v>金柯</v>
      </c>
      <c r="E1283" s="2" t="str">
        <f t="shared" si="45"/>
        <v>女</v>
      </c>
    </row>
    <row r="1284" spans="1:5" s="1" customFormat="1" ht="34.5" customHeight="1">
      <c r="A1284" s="2">
        <v>1282</v>
      </c>
      <c r="B1284" s="2" t="str">
        <f>"35932021121012560666588"</f>
        <v>35932021121012560666588</v>
      </c>
      <c r="C1284" s="2" t="s">
        <v>10</v>
      </c>
      <c r="D1284" s="2" t="str">
        <f>"吴欣仪"</f>
        <v>吴欣仪</v>
      </c>
      <c r="E1284" s="2" t="str">
        <f t="shared" si="45"/>
        <v>女</v>
      </c>
    </row>
    <row r="1285" spans="1:5" s="1" customFormat="1" ht="34.5" customHeight="1">
      <c r="A1285" s="2">
        <v>1283</v>
      </c>
      <c r="B1285" s="2" t="str">
        <f>"35932021121013111666595"</f>
        <v>35932021121013111666595</v>
      </c>
      <c r="C1285" s="2" t="s">
        <v>10</v>
      </c>
      <c r="D1285" s="2" t="str">
        <f>"王可丽"</f>
        <v>王可丽</v>
      </c>
      <c r="E1285" s="2" t="str">
        <f t="shared" si="45"/>
        <v>女</v>
      </c>
    </row>
    <row r="1286" spans="1:5" s="1" customFormat="1" ht="34.5" customHeight="1">
      <c r="A1286" s="2">
        <v>1284</v>
      </c>
      <c r="B1286" s="2" t="str">
        <f>"35932021121013305366596"</f>
        <v>35932021121013305366596</v>
      </c>
      <c r="C1286" s="2" t="s">
        <v>10</v>
      </c>
      <c r="D1286" s="2" t="str">
        <f>"黄静"</f>
        <v>黄静</v>
      </c>
      <c r="E1286" s="2" t="str">
        <f t="shared" si="45"/>
        <v>女</v>
      </c>
    </row>
    <row r="1287" spans="1:5" s="1" customFormat="1" ht="34.5" customHeight="1">
      <c r="A1287" s="2">
        <v>1285</v>
      </c>
      <c r="B1287" s="2" t="str">
        <f>"35932021121014322066609"</f>
        <v>35932021121014322066609</v>
      </c>
      <c r="C1287" s="2" t="s">
        <v>10</v>
      </c>
      <c r="D1287" s="2" t="str">
        <f>"陈月"</f>
        <v>陈月</v>
      </c>
      <c r="E1287" s="2" t="str">
        <f t="shared" si="45"/>
        <v>女</v>
      </c>
    </row>
    <row r="1288" spans="1:5" s="1" customFormat="1" ht="34.5" customHeight="1">
      <c r="A1288" s="2">
        <v>1286</v>
      </c>
      <c r="B1288" s="2" t="str">
        <f>"35932021121015182766623"</f>
        <v>35932021121015182766623</v>
      </c>
      <c r="C1288" s="2" t="s">
        <v>10</v>
      </c>
      <c r="D1288" s="2" t="str">
        <f>"吴东珠"</f>
        <v>吴东珠</v>
      </c>
      <c r="E1288" s="2" t="str">
        <f t="shared" si="45"/>
        <v>女</v>
      </c>
    </row>
    <row r="1289" spans="1:5" s="1" customFormat="1" ht="34.5" customHeight="1">
      <c r="A1289" s="2">
        <v>1287</v>
      </c>
      <c r="B1289" s="2" t="str">
        <f>"35932021121015193766624"</f>
        <v>35932021121015193766624</v>
      </c>
      <c r="C1289" s="2" t="s">
        <v>10</v>
      </c>
      <c r="D1289" s="2" t="str">
        <f>"王献珏"</f>
        <v>王献珏</v>
      </c>
      <c r="E1289" s="2" t="str">
        <f t="shared" si="45"/>
        <v>女</v>
      </c>
    </row>
    <row r="1290" spans="1:5" s="1" customFormat="1" ht="34.5" customHeight="1">
      <c r="A1290" s="2">
        <v>1288</v>
      </c>
      <c r="B1290" s="2" t="str">
        <f>"35932021121015214866625"</f>
        <v>35932021121015214866625</v>
      </c>
      <c r="C1290" s="2" t="s">
        <v>10</v>
      </c>
      <c r="D1290" s="2" t="str">
        <f>"包琳漾"</f>
        <v>包琳漾</v>
      </c>
      <c r="E1290" s="2" t="str">
        <f t="shared" si="45"/>
        <v>女</v>
      </c>
    </row>
    <row r="1291" spans="1:5" s="1" customFormat="1" ht="34.5" customHeight="1">
      <c r="A1291" s="2">
        <v>1289</v>
      </c>
      <c r="B1291" s="2" t="str">
        <f>"35932021121015503666632"</f>
        <v>35932021121015503666632</v>
      </c>
      <c r="C1291" s="2" t="s">
        <v>10</v>
      </c>
      <c r="D1291" s="2" t="str">
        <f>"吴炜焱"</f>
        <v>吴炜焱</v>
      </c>
      <c r="E1291" s="2" t="str">
        <f t="shared" si="45"/>
        <v>女</v>
      </c>
    </row>
    <row r="1292" spans="1:5" s="1" customFormat="1" ht="34.5" customHeight="1">
      <c r="A1292" s="2">
        <v>1290</v>
      </c>
      <c r="B1292" s="2" t="str">
        <f>"35932021121016274566644"</f>
        <v>35932021121016274566644</v>
      </c>
      <c r="C1292" s="2" t="s">
        <v>10</v>
      </c>
      <c r="D1292" s="2" t="str">
        <f>"王达江"</f>
        <v>王达江</v>
      </c>
      <c r="E1292" s="2" t="str">
        <f>"男"</f>
        <v>男</v>
      </c>
    </row>
    <row r="1293" spans="1:5" s="1" customFormat="1" ht="34.5" customHeight="1">
      <c r="A1293" s="2">
        <v>1291</v>
      </c>
      <c r="B1293" s="2" t="str">
        <f>"35932021121017024966658"</f>
        <v>35932021121017024966658</v>
      </c>
      <c r="C1293" s="2" t="s">
        <v>10</v>
      </c>
      <c r="D1293" s="2" t="str">
        <f>"王瑞兰"</f>
        <v>王瑞兰</v>
      </c>
      <c r="E1293" s="2" t="str">
        <f>"女"</f>
        <v>女</v>
      </c>
    </row>
    <row r="1294" spans="1:5" s="1" customFormat="1" ht="34.5" customHeight="1">
      <c r="A1294" s="2">
        <v>1292</v>
      </c>
      <c r="B1294" s="2" t="str">
        <f>"35932021121017132366663"</f>
        <v>35932021121017132366663</v>
      </c>
      <c r="C1294" s="2" t="s">
        <v>10</v>
      </c>
      <c r="D1294" s="2" t="str">
        <f>"林金玉"</f>
        <v>林金玉</v>
      </c>
      <c r="E1294" s="2" t="str">
        <f>"女"</f>
        <v>女</v>
      </c>
    </row>
    <row r="1295" spans="1:5" s="1" customFormat="1" ht="34.5" customHeight="1">
      <c r="A1295" s="2">
        <v>1293</v>
      </c>
      <c r="B1295" s="2" t="str">
        <f>"35932021121017252766666"</f>
        <v>35932021121017252766666</v>
      </c>
      <c r="C1295" s="2" t="s">
        <v>10</v>
      </c>
      <c r="D1295" s="2" t="str">
        <f>"邱名岳"</f>
        <v>邱名岳</v>
      </c>
      <c r="E1295" s="2" t="str">
        <f>"男"</f>
        <v>男</v>
      </c>
    </row>
    <row r="1296" spans="1:5" s="1" customFormat="1" ht="34.5" customHeight="1">
      <c r="A1296" s="2">
        <v>1294</v>
      </c>
      <c r="B1296" s="2" t="str">
        <f>"35932021121017374966670"</f>
        <v>35932021121017374966670</v>
      </c>
      <c r="C1296" s="2" t="s">
        <v>10</v>
      </c>
      <c r="D1296" s="2" t="str">
        <f>"朱德忠"</f>
        <v>朱德忠</v>
      </c>
      <c r="E1296" s="2" t="str">
        <f>"男"</f>
        <v>男</v>
      </c>
    </row>
    <row r="1297" spans="1:5" s="1" customFormat="1" ht="34.5" customHeight="1">
      <c r="A1297" s="2">
        <v>1295</v>
      </c>
      <c r="B1297" s="2" t="str">
        <f>"35932021121018324566683"</f>
        <v>35932021121018324566683</v>
      </c>
      <c r="C1297" s="2" t="s">
        <v>10</v>
      </c>
      <c r="D1297" s="2" t="str">
        <f>"王英淇"</f>
        <v>王英淇</v>
      </c>
      <c r="E1297" s="2" t="str">
        <f>"男"</f>
        <v>男</v>
      </c>
    </row>
    <row r="1298" spans="1:5" s="1" customFormat="1" ht="34.5" customHeight="1">
      <c r="A1298" s="2">
        <v>1296</v>
      </c>
      <c r="B1298" s="2" t="str">
        <f>"35932021121018492366686"</f>
        <v>35932021121018492366686</v>
      </c>
      <c r="C1298" s="2" t="s">
        <v>10</v>
      </c>
      <c r="D1298" s="2" t="str">
        <f>"邱丽娟"</f>
        <v>邱丽娟</v>
      </c>
      <c r="E1298" s="2" t="str">
        <f aca="true" t="shared" si="46" ref="E1298:E1310">"女"</f>
        <v>女</v>
      </c>
    </row>
    <row r="1299" spans="1:5" s="1" customFormat="1" ht="34.5" customHeight="1">
      <c r="A1299" s="2">
        <v>1297</v>
      </c>
      <c r="B1299" s="2" t="str">
        <f>"35932021121020211466699"</f>
        <v>35932021121020211466699</v>
      </c>
      <c r="C1299" s="2" t="s">
        <v>10</v>
      </c>
      <c r="D1299" s="2" t="str">
        <f>"周雪寒"</f>
        <v>周雪寒</v>
      </c>
      <c r="E1299" s="2" t="str">
        <f t="shared" si="46"/>
        <v>女</v>
      </c>
    </row>
    <row r="1300" spans="1:5" s="1" customFormat="1" ht="34.5" customHeight="1">
      <c r="A1300" s="2">
        <v>1298</v>
      </c>
      <c r="B1300" s="2" t="str">
        <f>"35932021121021363766717"</f>
        <v>35932021121021363766717</v>
      </c>
      <c r="C1300" s="2" t="s">
        <v>10</v>
      </c>
      <c r="D1300" s="2" t="str">
        <f>"陈惠贤"</f>
        <v>陈惠贤</v>
      </c>
      <c r="E1300" s="2" t="str">
        <f t="shared" si="46"/>
        <v>女</v>
      </c>
    </row>
    <row r="1301" spans="1:5" s="1" customFormat="1" ht="34.5" customHeight="1">
      <c r="A1301" s="2">
        <v>1299</v>
      </c>
      <c r="B1301" s="2" t="str">
        <f>"35932021121022171266723"</f>
        <v>35932021121022171266723</v>
      </c>
      <c r="C1301" s="2" t="s">
        <v>10</v>
      </c>
      <c r="D1301" s="2" t="str">
        <f>"王静"</f>
        <v>王静</v>
      </c>
      <c r="E1301" s="2" t="str">
        <f t="shared" si="46"/>
        <v>女</v>
      </c>
    </row>
    <row r="1302" spans="1:5" s="1" customFormat="1" ht="34.5" customHeight="1">
      <c r="A1302" s="2">
        <v>1300</v>
      </c>
      <c r="B1302" s="2" t="str">
        <f>"35932021121103533166738"</f>
        <v>35932021121103533166738</v>
      </c>
      <c r="C1302" s="2" t="s">
        <v>10</v>
      </c>
      <c r="D1302" s="2" t="str">
        <f>"佘文静"</f>
        <v>佘文静</v>
      </c>
      <c r="E1302" s="2" t="str">
        <f t="shared" si="46"/>
        <v>女</v>
      </c>
    </row>
    <row r="1303" spans="1:5" s="1" customFormat="1" ht="34.5" customHeight="1">
      <c r="A1303" s="2">
        <v>1301</v>
      </c>
      <c r="B1303" s="2" t="str">
        <f>"35932021121111020066759"</f>
        <v>35932021121111020066759</v>
      </c>
      <c r="C1303" s="2" t="s">
        <v>10</v>
      </c>
      <c r="D1303" s="2" t="str">
        <f>"郑佳玲"</f>
        <v>郑佳玲</v>
      </c>
      <c r="E1303" s="2" t="str">
        <f t="shared" si="46"/>
        <v>女</v>
      </c>
    </row>
    <row r="1304" spans="1:5" s="1" customFormat="1" ht="34.5" customHeight="1">
      <c r="A1304" s="2">
        <v>1302</v>
      </c>
      <c r="B1304" s="2" t="str">
        <f>"35932021121111241266764"</f>
        <v>35932021121111241266764</v>
      </c>
      <c r="C1304" s="2" t="s">
        <v>10</v>
      </c>
      <c r="D1304" s="2" t="str">
        <f>"刘小娜"</f>
        <v>刘小娜</v>
      </c>
      <c r="E1304" s="2" t="str">
        <f t="shared" si="46"/>
        <v>女</v>
      </c>
    </row>
    <row r="1305" spans="1:5" s="1" customFormat="1" ht="34.5" customHeight="1">
      <c r="A1305" s="2">
        <v>1303</v>
      </c>
      <c r="B1305" s="2" t="str">
        <f>"35932021121114192866787"</f>
        <v>35932021121114192866787</v>
      </c>
      <c r="C1305" s="2" t="s">
        <v>10</v>
      </c>
      <c r="D1305" s="2" t="str">
        <f>"王媛"</f>
        <v>王媛</v>
      </c>
      <c r="E1305" s="2" t="str">
        <f t="shared" si="46"/>
        <v>女</v>
      </c>
    </row>
    <row r="1306" spans="1:5" s="1" customFormat="1" ht="34.5" customHeight="1">
      <c r="A1306" s="2">
        <v>1304</v>
      </c>
      <c r="B1306" s="2" t="str">
        <f>"35932021121115265066795"</f>
        <v>35932021121115265066795</v>
      </c>
      <c r="C1306" s="2" t="s">
        <v>10</v>
      </c>
      <c r="D1306" s="2" t="str">
        <f>"刘燕娇"</f>
        <v>刘燕娇</v>
      </c>
      <c r="E1306" s="2" t="str">
        <f t="shared" si="46"/>
        <v>女</v>
      </c>
    </row>
    <row r="1307" spans="1:5" s="1" customFormat="1" ht="34.5" customHeight="1">
      <c r="A1307" s="2">
        <v>1305</v>
      </c>
      <c r="B1307" s="2" t="str">
        <f>"35932021121115555466801"</f>
        <v>35932021121115555466801</v>
      </c>
      <c r="C1307" s="2" t="s">
        <v>10</v>
      </c>
      <c r="D1307" s="2" t="str">
        <f>"刘芳宁"</f>
        <v>刘芳宁</v>
      </c>
      <c r="E1307" s="2" t="str">
        <f t="shared" si="46"/>
        <v>女</v>
      </c>
    </row>
    <row r="1308" spans="1:5" s="1" customFormat="1" ht="34.5" customHeight="1">
      <c r="A1308" s="2">
        <v>1306</v>
      </c>
      <c r="B1308" s="2" t="str">
        <f>"35932021121116124066803"</f>
        <v>35932021121116124066803</v>
      </c>
      <c r="C1308" s="2" t="s">
        <v>10</v>
      </c>
      <c r="D1308" s="2" t="str">
        <f>"李唯维"</f>
        <v>李唯维</v>
      </c>
      <c r="E1308" s="2" t="str">
        <f t="shared" si="46"/>
        <v>女</v>
      </c>
    </row>
    <row r="1309" spans="1:5" s="1" customFormat="1" ht="34.5" customHeight="1">
      <c r="A1309" s="2">
        <v>1307</v>
      </c>
      <c r="B1309" s="2" t="str">
        <f>"35932021121116201466806"</f>
        <v>35932021121116201466806</v>
      </c>
      <c r="C1309" s="2" t="s">
        <v>10</v>
      </c>
      <c r="D1309" s="2" t="str">
        <f>"陈小芳"</f>
        <v>陈小芳</v>
      </c>
      <c r="E1309" s="2" t="str">
        <f t="shared" si="46"/>
        <v>女</v>
      </c>
    </row>
    <row r="1310" spans="1:5" s="1" customFormat="1" ht="34.5" customHeight="1">
      <c r="A1310" s="2">
        <v>1308</v>
      </c>
      <c r="B1310" s="2" t="str">
        <f>"35932021121116394966809"</f>
        <v>35932021121116394966809</v>
      </c>
      <c r="C1310" s="2" t="s">
        <v>10</v>
      </c>
      <c r="D1310" s="2" t="str">
        <f>"陈善牡"</f>
        <v>陈善牡</v>
      </c>
      <c r="E1310" s="2" t="str">
        <f t="shared" si="46"/>
        <v>女</v>
      </c>
    </row>
    <row r="1311" spans="1:5" s="1" customFormat="1" ht="34.5" customHeight="1">
      <c r="A1311" s="2">
        <v>1309</v>
      </c>
      <c r="B1311" s="2" t="str">
        <f>"35932021121116540766813"</f>
        <v>35932021121116540766813</v>
      </c>
      <c r="C1311" s="2" t="s">
        <v>10</v>
      </c>
      <c r="D1311" s="2" t="str">
        <f>"陈乙铭"</f>
        <v>陈乙铭</v>
      </c>
      <c r="E1311" s="2" t="str">
        <f>"男"</f>
        <v>男</v>
      </c>
    </row>
    <row r="1312" spans="1:5" s="1" customFormat="1" ht="34.5" customHeight="1">
      <c r="A1312" s="2">
        <v>1310</v>
      </c>
      <c r="B1312" s="2" t="str">
        <f>"35932021121117013366814"</f>
        <v>35932021121117013366814</v>
      </c>
      <c r="C1312" s="2" t="s">
        <v>10</v>
      </c>
      <c r="D1312" s="2" t="str">
        <f>"王焕"</f>
        <v>王焕</v>
      </c>
      <c r="E1312" s="2" t="str">
        <f>"女"</f>
        <v>女</v>
      </c>
    </row>
    <row r="1313" spans="1:5" s="1" customFormat="1" ht="34.5" customHeight="1">
      <c r="A1313" s="2">
        <v>1311</v>
      </c>
      <c r="B1313" s="2" t="str">
        <f>"35932021121118240266829"</f>
        <v>35932021121118240266829</v>
      </c>
      <c r="C1313" s="2" t="s">
        <v>10</v>
      </c>
      <c r="D1313" s="2" t="str">
        <f>"刘宇"</f>
        <v>刘宇</v>
      </c>
      <c r="E1313" s="2" t="str">
        <f>"男"</f>
        <v>男</v>
      </c>
    </row>
    <row r="1314" spans="1:5" s="1" customFormat="1" ht="34.5" customHeight="1">
      <c r="A1314" s="2">
        <v>1312</v>
      </c>
      <c r="B1314" s="2" t="str">
        <f>"35932021121118503666832"</f>
        <v>35932021121118503666832</v>
      </c>
      <c r="C1314" s="2" t="s">
        <v>10</v>
      </c>
      <c r="D1314" s="2" t="str">
        <f>"张瑞琮"</f>
        <v>张瑞琮</v>
      </c>
      <c r="E1314" s="2" t="str">
        <f>"女"</f>
        <v>女</v>
      </c>
    </row>
    <row r="1315" spans="1:5" s="1" customFormat="1" ht="34.5" customHeight="1">
      <c r="A1315" s="2">
        <v>1313</v>
      </c>
      <c r="B1315" s="2" t="str">
        <f>"35932021121120463266847"</f>
        <v>35932021121120463266847</v>
      </c>
      <c r="C1315" s="2" t="s">
        <v>10</v>
      </c>
      <c r="D1315" s="2" t="str">
        <f>"王雅可"</f>
        <v>王雅可</v>
      </c>
      <c r="E1315" s="2" t="str">
        <f>"女"</f>
        <v>女</v>
      </c>
    </row>
    <row r="1316" spans="1:5" s="1" customFormat="1" ht="34.5" customHeight="1">
      <c r="A1316" s="2">
        <v>1314</v>
      </c>
      <c r="B1316" s="2" t="str">
        <f>"35932021121121024166851"</f>
        <v>35932021121121024166851</v>
      </c>
      <c r="C1316" s="2" t="s">
        <v>10</v>
      </c>
      <c r="D1316" s="2" t="str">
        <f>"林鸿昌"</f>
        <v>林鸿昌</v>
      </c>
      <c r="E1316" s="2" t="str">
        <f>"男"</f>
        <v>男</v>
      </c>
    </row>
    <row r="1317" spans="1:5" s="1" customFormat="1" ht="34.5" customHeight="1">
      <c r="A1317" s="2">
        <v>1315</v>
      </c>
      <c r="B1317" s="2" t="str">
        <f>"35932021121121400466861"</f>
        <v>35932021121121400466861</v>
      </c>
      <c r="C1317" s="2" t="s">
        <v>10</v>
      </c>
      <c r="D1317" s="2" t="str">
        <f>"罗云"</f>
        <v>罗云</v>
      </c>
      <c r="E1317" s="2" t="str">
        <f aca="true" t="shared" si="47" ref="E1317:E1326">"女"</f>
        <v>女</v>
      </c>
    </row>
    <row r="1318" spans="1:5" s="1" customFormat="1" ht="34.5" customHeight="1">
      <c r="A1318" s="2">
        <v>1316</v>
      </c>
      <c r="B1318" s="2" t="str">
        <f>"35932021121122392266873"</f>
        <v>35932021121122392266873</v>
      </c>
      <c r="C1318" s="2" t="s">
        <v>10</v>
      </c>
      <c r="D1318" s="2" t="str">
        <f>"钟英风"</f>
        <v>钟英风</v>
      </c>
      <c r="E1318" s="2" t="str">
        <f t="shared" si="47"/>
        <v>女</v>
      </c>
    </row>
    <row r="1319" spans="1:5" s="1" customFormat="1" ht="34.5" customHeight="1">
      <c r="A1319" s="2">
        <v>1317</v>
      </c>
      <c r="B1319" s="2" t="str">
        <f>"35932021121208105666883"</f>
        <v>35932021121208105666883</v>
      </c>
      <c r="C1319" s="2" t="s">
        <v>10</v>
      </c>
      <c r="D1319" s="2" t="str">
        <f>"林培培"</f>
        <v>林培培</v>
      </c>
      <c r="E1319" s="2" t="str">
        <f t="shared" si="47"/>
        <v>女</v>
      </c>
    </row>
    <row r="1320" spans="1:5" s="1" customFormat="1" ht="34.5" customHeight="1">
      <c r="A1320" s="2">
        <v>1318</v>
      </c>
      <c r="B1320" s="2" t="str">
        <f>"35932021121208242366884"</f>
        <v>35932021121208242366884</v>
      </c>
      <c r="C1320" s="2" t="s">
        <v>10</v>
      </c>
      <c r="D1320" s="2" t="str">
        <f>"黄校"</f>
        <v>黄校</v>
      </c>
      <c r="E1320" s="2" t="str">
        <f t="shared" si="47"/>
        <v>女</v>
      </c>
    </row>
    <row r="1321" spans="1:5" s="1" customFormat="1" ht="34.5" customHeight="1">
      <c r="A1321" s="2">
        <v>1319</v>
      </c>
      <c r="B1321" s="2" t="str">
        <f>"35932021121208560166886"</f>
        <v>35932021121208560166886</v>
      </c>
      <c r="C1321" s="2" t="s">
        <v>10</v>
      </c>
      <c r="D1321" s="2" t="str">
        <f>"李圆圆"</f>
        <v>李圆圆</v>
      </c>
      <c r="E1321" s="2" t="str">
        <f t="shared" si="47"/>
        <v>女</v>
      </c>
    </row>
    <row r="1322" spans="1:5" s="1" customFormat="1" ht="34.5" customHeight="1">
      <c r="A1322" s="2">
        <v>1320</v>
      </c>
      <c r="B1322" s="2" t="str">
        <f>"35932021121209473966892"</f>
        <v>35932021121209473966892</v>
      </c>
      <c r="C1322" s="2" t="s">
        <v>10</v>
      </c>
      <c r="D1322" s="2" t="str">
        <f>"王琳"</f>
        <v>王琳</v>
      </c>
      <c r="E1322" s="2" t="str">
        <f t="shared" si="47"/>
        <v>女</v>
      </c>
    </row>
    <row r="1323" spans="1:5" s="1" customFormat="1" ht="34.5" customHeight="1">
      <c r="A1323" s="2">
        <v>1321</v>
      </c>
      <c r="B1323" s="2" t="str">
        <f>"35932021121210363566897"</f>
        <v>35932021121210363566897</v>
      </c>
      <c r="C1323" s="2" t="s">
        <v>10</v>
      </c>
      <c r="D1323" s="2" t="str">
        <f>"吴燕阳"</f>
        <v>吴燕阳</v>
      </c>
      <c r="E1323" s="2" t="str">
        <f t="shared" si="47"/>
        <v>女</v>
      </c>
    </row>
    <row r="1324" spans="1:5" s="1" customFormat="1" ht="34.5" customHeight="1">
      <c r="A1324" s="2">
        <v>1322</v>
      </c>
      <c r="B1324" s="2" t="str">
        <f>"35932021121210412266899"</f>
        <v>35932021121210412266899</v>
      </c>
      <c r="C1324" s="2" t="s">
        <v>10</v>
      </c>
      <c r="D1324" s="2" t="str">
        <f>"陈丽葵"</f>
        <v>陈丽葵</v>
      </c>
      <c r="E1324" s="2" t="str">
        <f t="shared" si="47"/>
        <v>女</v>
      </c>
    </row>
    <row r="1325" spans="1:5" s="1" customFormat="1" ht="34.5" customHeight="1">
      <c r="A1325" s="2">
        <v>1323</v>
      </c>
      <c r="B1325" s="2" t="str">
        <f>"35932021121210530666903"</f>
        <v>35932021121210530666903</v>
      </c>
      <c r="C1325" s="2" t="s">
        <v>10</v>
      </c>
      <c r="D1325" s="2" t="str">
        <f>"陈宝萍"</f>
        <v>陈宝萍</v>
      </c>
      <c r="E1325" s="2" t="str">
        <f t="shared" si="47"/>
        <v>女</v>
      </c>
    </row>
    <row r="1326" spans="1:5" s="1" customFormat="1" ht="34.5" customHeight="1">
      <c r="A1326" s="2">
        <v>1324</v>
      </c>
      <c r="B1326" s="2" t="str">
        <f>"35932021121211122866910"</f>
        <v>35932021121211122866910</v>
      </c>
      <c r="C1326" s="2" t="s">
        <v>10</v>
      </c>
      <c r="D1326" s="2" t="str">
        <f>"樊华"</f>
        <v>樊华</v>
      </c>
      <c r="E1326" s="2" t="str">
        <f t="shared" si="47"/>
        <v>女</v>
      </c>
    </row>
    <row r="1327" spans="1:5" s="1" customFormat="1" ht="34.5" customHeight="1">
      <c r="A1327" s="2">
        <v>1325</v>
      </c>
      <c r="B1327" s="2" t="str">
        <f>"35932021121211360966913"</f>
        <v>35932021121211360966913</v>
      </c>
      <c r="C1327" s="2" t="s">
        <v>10</v>
      </c>
      <c r="D1327" s="2" t="str">
        <f>"夏霖成"</f>
        <v>夏霖成</v>
      </c>
      <c r="E1327" s="2" t="str">
        <f>"男"</f>
        <v>男</v>
      </c>
    </row>
    <row r="1328" spans="1:5" s="1" customFormat="1" ht="34.5" customHeight="1">
      <c r="A1328" s="2">
        <v>1326</v>
      </c>
      <c r="B1328" s="2" t="str">
        <f>"35932021121212215766924"</f>
        <v>35932021121212215766924</v>
      </c>
      <c r="C1328" s="2" t="s">
        <v>10</v>
      </c>
      <c r="D1328" s="2" t="str">
        <f>"曾宝莹"</f>
        <v>曾宝莹</v>
      </c>
      <c r="E1328" s="2" t="str">
        <f>"女"</f>
        <v>女</v>
      </c>
    </row>
    <row r="1329" spans="1:5" s="1" customFormat="1" ht="34.5" customHeight="1">
      <c r="A1329" s="2">
        <v>1327</v>
      </c>
      <c r="B1329" s="2" t="str">
        <f>"35932021121212281466926"</f>
        <v>35932021121212281466926</v>
      </c>
      <c r="C1329" s="2" t="s">
        <v>10</v>
      </c>
      <c r="D1329" s="2" t="str">
        <f>"陈芳"</f>
        <v>陈芳</v>
      </c>
      <c r="E1329" s="2" t="str">
        <f>"女"</f>
        <v>女</v>
      </c>
    </row>
    <row r="1330" spans="1:5" s="1" customFormat="1" ht="34.5" customHeight="1">
      <c r="A1330" s="2">
        <v>1328</v>
      </c>
      <c r="B1330" s="2" t="str">
        <f>"35932021121212291366928"</f>
        <v>35932021121212291366928</v>
      </c>
      <c r="C1330" s="2" t="s">
        <v>10</v>
      </c>
      <c r="D1330" s="2" t="str">
        <f>"郑晔炯"</f>
        <v>郑晔炯</v>
      </c>
      <c r="E1330" s="2" t="str">
        <f>"男"</f>
        <v>男</v>
      </c>
    </row>
    <row r="1331" spans="1:5" s="1" customFormat="1" ht="34.5" customHeight="1">
      <c r="A1331" s="2">
        <v>1329</v>
      </c>
      <c r="B1331" s="2" t="str">
        <f>"35932021121213454466937"</f>
        <v>35932021121213454466937</v>
      </c>
      <c r="C1331" s="2" t="s">
        <v>10</v>
      </c>
      <c r="D1331" s="2" t="str">
        <f>"李达贵"</f>
        <v>李达贵</v>
      </c>
      <c r="E1331" s="2" t="str">
        <f>"男"</f>
        <v>男</v>
      </c>
    </row>
    <row r="1332" spans="1:5" s="1" customFormat="1" ht="34.5" customHeight="1">
      <c r="A1332" s="2">
        <v>1330</v>
      </c>
      <c r="B1332" s="2" t="str">
        <f>"35932021121215442066953"</f>
        <v>35932021121215442066953</v>
      </c>
      <c r="C1332" s="2" t="s">
        <v>10</v>
      </c>
      <c r="D1332" s="2" t="str">
        <f>"蔡汝松"</f>
        <v>蔡汝松</v>
      </c>
      <c r="E1332" s="2" t="str">
        <f>"男"</f>
        <v>男</v>
      </c>
    </row>
    <row r="1333" spans="1:5" s="1" customFormat="1" ht="34.5" customHeight="1">
      <c r="A1333" s="2">
        <v>1331</v>
      </c>
      <c r="B1333" s="2" t="str">
        <f>"35932021121215552466957"</f>
        <v>35932021121215552466957</v>
      </c>
      <c r="C1333" s="2" t="s">
        <v>10</v>
      </c>
      <c r="D1333" s="2" t="str">
        <f>"张春瑞"</f>
        <v>张春瑞</v>
      </c>
      <c r="E1333" s="2" t="str">
        <f>"女"</f>
        <v>女</v>
      </c>
    </row>
    <row r="1334" spans="1:5" s="1" customFormat="1" ht="34.5" customHeight="1">
      <c r="A1334" s="2">
        <v>1332</v>
      </c>
      <c r="B1334" s="2" t="str">
        <f>"35932021121215593766958"</f>
        <v>35932021121215593766958</v>
      </c>
      <c r="C1334" s="2" t="s">
        <v>10</v>
      </c>
      <c r="D1334" s="2" t="str">
        <f>"王慧"</f>
        <v>王慧</v>
      </c>
      <c r="E1334" s="2" t="str">
        <f>"女"</f>
        <v>女</v>
      </c>
    </row>
    <row r="1335" spans="1:5" s="1" customFormat="1" ht="34.5" customHeight="1">
      <c r="A1335" s="2">
        <v>1333</v>
      </c>
      <c r="B1335" s="2" t="str">
        <f>"35932021121216240166965"</f>
        <v>35932021121216240166965</v>
      </c>
      <c r="C1335" s="2" t="s">
        <v>10</v>
      </c>
      <c r="D1335" s="2" t="str">
        <f>"劳晓杰"</f>
        <v>劳晓杰</v>
      </c>
      <c r="E1335" s="2" t="str">
        <f>"女"</f>
        <v>女</v>
      </c>
    </row>
    <row r="1336" spans="1:5" s="1" customFormat="1" ht="34.5" customHeight="1">
      <c r="A1336" s="2">
        <v>1334</v>
      </c>
      <c r="B1336" s="2" t="str">
        <f>"35932021121216411266969"</f>
        <v>35932021121216411266969</v>
      </c>
      <c r="C1336" s="2" t="s">
        <v>10</v>
      </c>
      <c r="D1336" s="2" t="str">
        <f>"吴坤兴"</f>
        <v>吴坤兴</v>
      </c>
      <c r="E1336" s="2" t="str">
        <f>"男"</f>
        <v>男</v>
      </c>
    </row>
    <row r="1337" spans="1:5" s="1" customFormat="1" ht="34.5" customHeight="1">
      <c r="A1337" s="2">
        <v>1335</v>
      </c>
      <c r="B1337" s="2" t="str">
        <f>"35932021121216482766970"</f>
        <v>35932021121216482766970</v>
      </c>
      <c r="C1337" s="2" t="s">
        <v>10</v>
      </c>
      <c r="D1337" s="2" t="str">
        <f>"吴妙奇"</f>
        <v>吴妙奇</v>
      </c>
      <c r="E1337" s="2" t="str">
        <f>"女"</f>
        <v>女</v>
      </c>
    </row>
    <row r="1338" spans="1:5" s="1" customFormat="1" ht="34.5" customHeight="1">
      <c r="A1338" s="2">
        <v>1336</v>
      </c>
      <c r="B1338" s="2" t="str">
        <f>"35932021121217103566975"</f>
        <v>35932021121217103566975</v>
      </c>
      <c r="C1338" s="2" t="s">
        <v>10</v>
      </c>
      <c r="D1338" s="2" t="str">
        <f>"唐发敏"</f>
        <v>唐发敏</v>
      </c>
      <c r="E1338" s="2" t="str">
        <f>"男"</f>
        <v>男</v>
      </c>
    </row>
    <row r="1339" spans="1:5" s="1" customFormat="1" ht="34.5" customHeight="1">
      <c r="A1339" s="2">
        <v>1337</v>
      </c>
      <c r="B1339" s="2" t="str">
        <f>"35932021121217343566983"</f>
        <v>35932021121217343566983</v>
      </c>
      <c r="C1339" s="2" t="s">
        <v>10</v>
      </c>
      <c r="D1339" s="2" t="str">
        <f>"王于清"</f>
        <v>王于清</v>
      </c>
      <c r="E1339" s="2" t="str">
        <f aca="true" t="shared" si="48" ref="E1339:E1344">"女"</f>
        <v>女</v>
      </c>
    </row>
    <row r="1340" spans="1:5" s="1" customFormat="1" ht="34.5" customHeight="1">
      <c r="A1340" s="2">
        <v>1338</v>
      </c>
      <c r="B1340" s="2" t="str">
        <f>"35932021121217564466987"</f>
        <v>35932021121217564466987</v>
      </c>
      <c r="C1340" s="2" t="s">
        <v>10</v>
      </c>
      <c r="D1340" s="2" t="str">
        <f>"黄文哲"</f>
        <v>黄文哲</v>
      </c>
      <c r="E1340" s="2" t="str">
        <f t="shared" si="48"/>
        <v>女</v>
      </c>
    </row>
    <row r="1341" spans="1:5" s="1" customFormat="1" ht="34.5" customHeight="1">
      <c r="A1341" s="2">
        <v>1339</v>
      </c>
      <c r="B1341" s="2" t="str">
        <f>"35932021121218305166992"</f>
        <v>35932021121218305166992</v>
      </c>
      <c r="C1341" s="2" t="s">
        <v>10</v>
      </c>
      <c r="D1341" s="2" t="str">
        <f>"李宜瑾"</f>
        <v>李宜瑾</v>
      </c>
      <c r="E1341" s="2" t="str">
        <f t="shared" si="48"/>
        <v>女</v>
      </c>
    </row>
    <row r="1342" spans="1:5" s="1" customFormat="1" ht="34.5" customHeight="1">
      <c r="A1342" s="2">
        <v>1340</v>
      </c>
      <c r="B1342" s="2" t="str">
        <f>"35932021121219085066998"</f>
        <v>35932021121219085066998</v>
      </c>
      <c r="C1342" s="2" t="s">
        <v>10</v>
      </c>
      <c r="D1342" s="2" t="str">
        <f>"许玮韫"</f>
        <v>许玮韫</v>
      </c>
      <c r="E1342" s="2" t="str">
        <f t="shared" si="48"/>
        <v>女</v>
      </c>
    </row>
    <row r="1343" spans="1:5" s="1" customFormat="1" ht="34.5" customHeight="1">
      <c r="A1343" s="2">
        <v>1341</v>
      </c>
      <c r="B1343" s="2" t="str">
        <f>"35932021121219212767001"</f>
        <v>35932021121219212767001</v>
      </c>
      <c r="C1343" s="2" t="s">
        <v>10</v>
      </c>
      <c r="D1343" s="2" t="str">
        <f>"薛丽益"</f>
        <v>薛丽益</v>
      </c>
      <c r="E1343" s="2" t="str">
        <f t="shared" si="48"/>
        <v>女</v>
      </c>
    </row>
    <row r="1344" spans="1:5" s="1" customFormat="1" ht="34.5" customHeight="1">
      <c r="A1344" s="2">
        <v>1342</v>
      </c>
      <c r="B1344" s="2" t="str">
        <f>"35932021121219335467002"</f>
        <v>35932021121219335467002</v>
      </c>
      <c r="C1344" s="2" t="s">
        <v>10</v>
      </c>
      <c r="D1344" s="2" t="str">
        <f>"羊菊秀"</f>
        <v>羊菊秀</v>
      </c>
      <c r="E1344" s="2" t="str">
        <f t="shared" si="48"/>
        <v>女</v>
      </c>
    </row>
    <row r="1345" spans="1:5" s="1" customFormat="1" ht="34.5" customHeight="1">
      <c r="A1345" s="2">
        <v>1343</v>
      </c>
      <c r="B1345" s="2" t="str">
        <f>"35932021121219554867005"</f>
        <v>35932021121219554867005</v>
      </c>
      <c r="C1345" s="2" t="s">
        <v>10</v>
      </c>
      <c r="D1345" s="2" t="str">
        <f>"黎壮"</f>
        <v>黎壮</v>
      </c>
      <c r="E1345" s="2" t="str">
        <f>"男"</f>
        <v>男</v>
      </c>
    </row>
    <row r="1346" spans="1:5" s="1" customFormat="1" ht="34.5" customHeight="1">
      <c r="A1346" s="2">
        <v>1344</v>
      </c>
      <c r="B1346" s="2" t="str">
        <f>"35932021121220262967011"</f>
        <v>35932021121220262967011</v>
      </c>
      <c r="C1346" s="2" t="s">
        <v>10</v>
      </c>
      <c r="D1346" s="2" t="str">
        <f>"杨凯"</f>
        <v>杨凯</v>
      </c>
      <c r="E1346" s="2" t="str">
        <f>"男"</f>
        <v>男</v>
      </c>
    </row>
    <row r="1347" spans="1:5" s="1" customFormat="1" ht="34.5" customHeight="1">
      <c r="A1347" s="2">
        <v>1345</v>
      </c>
      <c r="B1347" s="2" t="str">
        <f>"35932021121220565367017"</f>
        <v>35932021121220565367017</v>
      </c>
      <c r="C1347" s="2" t="s">
        <v>10</v>
      </c>
      <c r="D1347" s="2" t="str">
        <f>"王玮佳"</f>
        <v>王玮佳</v>
      </c>
      <c r="E1347" s="2" t="str">
        <f>"女"</f>
        <v>女</v>
      </c>
    </row>
    <row r="1348" spans="1:5" s="1" customFormat="1" ht="34.5" customHeight="1">
      <c r="A1348" s="2">
        <v>1346</v>
      </c>
      <c r="B1348" s="2" t="str">
        <f>"35932021121221072067021"</f>
        <v>35932021121221072067021</v>
      </c>
      <c r="C1348" s="2" t="s">
        <v>10</v>
      </c>
      <c r="D1348" s="2" t="str">
        <f>"符海玲"</f>
        <v>符海玲</v>
      </c>
      <c r="E1348" s="2" t="str">
        <f>"女"</f>
        <v>女</v>
      </c>
    </row>
    <row r="1349" spans="1:5" s="1" customFormat="1" ht="34.5" customHeight="1">
      <c r="A1349" s="2">
        <v>1347</v>
      </c>
      <c r="B1349" s="2" t="str">
        <f>"35932021121221581467032"</f>
        <v>35932021121221581467032</v>
      </c>
      <c r="C1349" s="2" t="s">
        <v>10</v>
      </c>
      <c r="D1349" s="2" t="str">
        <f>"王璐瑶"</f>
        <v>王璐瑶</v>
      </c>
      <c r="E1349" s="2" t="str">
        <f>"女"</f>
        <v>女</v>
      </c>
    </row>
    <row r="1350" spans="1:5" s="1" customFormat="1" ht="34.5" customHeight="1">
      <c r="A1350" s="2">
        <v>1348</v>
      </c>
      <c r="B1350" s="2" t="str">
        <f>"35932021121222075067033"</f>
        <v>35932021121222075067033</v>
      </c>
      <c r="C1350" s="2" t="s">
        <v>10</v>
      </c>
      <c r="D1350" s="2" t="str">
        <f>"李天凤"</f>
        <v>李天凤</v>
      </c>
      <c r="E1350" s="2" t="str">
        <f>"女"</f>
        <v>女</v>
      </c>
    </row>
    <row r="1351" spans="1:5" s="1" customFormat="1" ht="34.5" customHeight="1">
      <c r="A1351" s="2">
        <v>1349</v>
      </c>
      <c r="B1351" s="2" t="str">
        <f>"35932021121300150367050"</f>
        <v>35932021121300150367050</v>
      </c>
      <c r="C1351" s="2" t="s">
        <v>10</v>
      </c>
      <c r="D1351" s="2" t="str">
        <f>"符永康"</f>
        <v>符永康</v>
      </c>
      <c r="E1351" s="2" t="str">
        <f>"男"</f>
        <v>男</v>
      </c>
    </row>
    <row r="1352" spans="1:5" s="1" customFormat="1" ht="34.5" customHeight="1">
      <c r="A1352" s="2">
        <v>1350</v>
      </c>
      <c r="B1352" s="2" t="str">
        <f>"35932021121300520367052"</f>
        <v>35932021121300520367052</v>
      </c>
      <c r="C1352" s="2" t="s">
        <v>10</v>
      </c>
      <c r="D1352" s="2" t="str">
        <f>"符昌武"</f>
        <v>符昌武</v>
      </c>
      <c r="E1352" s="2" t="str">
        <f>"男"</f>
        <v>男</v>
      </c>
    </row>
    <row r="1353" spans="1:5" s="1" customFormat="1" ht="34.5" customHeight="1">
      <c r="A1353" s="2">
        <v>1351</v>
      </c>
      <c r="B1353" s="2" t="str">
        <f>"35932021121300552067054"</f>
        <v>35932021121300552067054</v>
      </c>
      <c r="C1353" s="2" t="s">
        <v>10</v>
      </c>
      <c r="D1353" s="2" t="str">
        <f>"谢金女"</f>
        <v>谢金女</v>
      </c>
      <c r="E1353" s="2" t="str">
        <f>"女"</f>
        <v>女</v>
      </c>
    </row>
    <row r="1354" spans="1:5" s="1" customFormat="1" ht="34.5" customHeight="1">
      <c r="A1354" s="2">
        <v>1352</v>
      </c>
      <c r="B1354" s="2" t="str">
        <f>"35932021121308291867059"</f>
        <v>35932021121308291867059</v>
      </c>
      <c r="C1354" s="2" t="s">
        <v>10</v>
      </c>
      <c r="D1354" s="2" t="str">
        <f>"许苑星"</f>
        <v>许苑星</v>
      </c>
      <c r="E1354" s="2" t="str">
        <f>"女"</f>
        <v>女</v>
      </c>
    </row>
    <row r="1355" spans="1:5" s="1" customFormat="1" ht="34.5" customHeight="1">
      <c r="A1355" s="2">
        <v>1353</v>
      </c>
      <c r="B1355" s="2" t="str">
        <f>"35932021121308311667061"</f>
        <v>35932021121308311667061</v>
      </c>
      <c r="C1355" s="2" t="s">
        <v>10</v>
      </c>
      <c r="D1355" s="2" t="str">
        <f>" 王雲"</f>
        <v> 王雲</v>
      </c>
      <c r="E1355" s="2" t="str">
        <f>"女"</f>
        <v>女</v>
      </c>
    </row>
    <row r="1356" spans="1:5" s="1" customFormat="1" ht="34.5" customHeight="1">
      <c r="A1356" s="2">
        <v>1354</v>
      </c>
      <c r="B1356" s="2" t="str">
        <f>"35932021121308322567062"</f>
        <v>35932021121308322567062</v>
      </c>
      <c r="C1356" s="2" t="s">
        <v>10</v>
      </c>
      <c r="D1356" s="2" t="str">
        <f>"周文诗"</f>
        <v>周文诗</v>
      </c>
      <c r="E1356" s="2" t="str">
        <f>"女"</f>
        <v>女</v>
      </c>
    </row>
    <row r="1357" spans="1:5" s="1" customFormat="1" ht="34.5" customHeight="1">
      <c r="A1357" s="2">
        <v>1355</v>
      </c>
      <c r="B1357" s="2" t="str">
        <f>"35932021121308341867063"</f>
        <v>35932021121308341867063</v>
      </c>
      <c r="C1357" s="2" t="s">
        <v>10</v>
      </c>
      <c r="D1357" s="2" t="str">
        <f>"许敏"</f>
        <v>许敏</v>
      </c>
      <c r="E1357" s="2" t="str">
        <f>"女"</f>
        <v>女</v>
      </c>
    </row>
    <row r="1358" spans="1:5" s="1" customFormat="1" ht="34.5" customHeight="1">
      <c r="A1358" s="2">
        <v>1356</v>
      </c>
      <c r="B1358" s="2" t="str">
        <f>"35932021121308562167068"</f>
        <v>35932021121308562167068</v>
      </c>
      <c r="C1358" s="2" t="s">
        <v>10</v>
      </c>
      <c r="D1358" s="2" t="str">
        <f>"陈明宏"</f>
        <v>陈明宏</v>
      </c>
      <c r="E1358" s="2" t="str">
        <f>"男"</f>
        <v>男</v>
      </c>
    </row>
    <row r="1359" spans="1:5" s="1" customFormat="1" ht="34.5" customHeight="1">
      <c r="A1359" s="2">
        <v>1357</v>
      </c>
      <c r="B1359" s="2" t="str">
        <f>"35932021121309030567074"</f>
        <v>35932021121309030567074</v>
      </c>
      <c r="C1359" s="2" t="s">
        <v>10</v>
      </c>
      <c r="D1359" s="2" t="str">
        <f>"王秀菊"</f>
        <v>王秀菊</v>
      </c>
      <c r="E1359" s="2" t="str">
        <f>"女"</f>
        <v>女</v>
      </c>
    </row>
    <row r="1360" spans="1:5" s="1" customFormat="1" ht="34.5" customHeight="1">
      <c r="A1360" s="2">
        <v>1358</v>
      </c>
      <c r="B1360" s="2" t="str">
        <f>"35932021121309033867075"</f>
        <v>35932021121309033867075</v>
      </c>
      <c r="C1360" s="2" t="s">
        <v>10</v>
      </c>
      <c r="D1360" s="2" t="str">
        <f>"李秋莹"</f>
        <v>李秋莹</v>
      </c>
      <c r="E1360" s="2" t="str">
        <f>"女"</f>
        <v>女</v>
      </c>
    </row>
    <row r="1361" spans="1:5" s="1" customFormat="1" ht="34.5" customHeight="1">
      <c r="A1361" s="2">
        <v>1359</v>
      </c>
      <c r="B1361" s="2" t="str">
        <f>"35932021121309044867078"</f>
        <v>35932021121309044867078</v>
      </c>
      <c r="C1361" s="2" t="s">
        <v>10</v>
      </c>
      <c r="D1361" s="2" t="str">
        <f>"黄小曼"</f>
        <v>黄小曼</v>
      </c>
      <c r="E1361" s="2" t="str">
        <f>"女"</f>
        <v>女</v>
      </c>
    </row>
    <row r="1362" spans="1:5" s="1" customFormat="1" ht="34.5" customHeight="1">
      <c r="A1362" s="2">
        <v>1360</v>
      </c>
      <c r="B1362" s="2" t="str">
        <f>"35932021121309114067081"</f>
        <v>35932021121309114067081</v>
      </c>
      <c r="C1362" s="2" t="s">
        <v>10</v>
      </c>
      <c r="D1362" s="2" t="str">
        <f>"王文"</f>
        <v>王文</v>
      </c>
      <c r="E1362" s="2" t="str">
        <f>"女"</f>
        <v>女</v>
      </c>
    </row>
    <row r="1363" spans="1:5" s="1" customFormat="1" ht="34.5" customHeight="1">
      <c r="A1363" s="2">
        <v>1361</v>
      </c>
      <c r="B1363" s="2" t="str">
        <f>"35932021121309150067082"</f>
        <v>35932021121309150067082</v>
      </c>
      <c r="C1363" s="2" t="s">
        <v>10</v>
      </c>
      <c r="D1363" s="2" t="str">
        <f>"陈雪薇"</f>
        <v>陈雪薇</v>
      </c>
      <c r="E1363" s="2" t="str">
        <f>"女"</f>
        <v>女</v>
      </c>
    </row>
    <row r="1364" spans="1:5" s="1" customFormat="1" ht="34.5" customHeight="1">
      <c r="A1364" s="2">
        <v>1362</v>
      </c>
      <c r="B1364" s="2" t="str">
        <f>"35932021121309192667084"</f>
        <v>35932021121309192667084</v>
      </c>
      <c r="C1364" s="2" t="s">
        <v>10</v>
      </c>
      <c r="D1364" s="2" t="str">
        <f>"黄会森"</f>
        <v>黄会森</v>
      </c>
      <c r="E1364" s="2" t="str">
        <f>"男"</f>
        <v>男</v>
      </c>
    </row>
    <row r="1365" spans="1:5" s="1" customFormat="1" ht="34.5" customHeight="1">
      <c r="A1365" s="2">
        <v>1363</v>
      </c>
      <c r="B1365" s="2" t="str">
        <f>"35932021121310043567101"</f>
        <v>35932021121310043567101</v>
      </c>
      <c r="C1365" s="2" t="s">
        <v>10</v>
      </c>
      <c r="D1365" s="2" t="str">
        <f>"吉俐憬"</f>
        <v>吉俐憬</v>
      </c>
      <c r="E1365" s="2" t="str">
        <f>"女"</f>
        <v>女</v>
      </c>
    </row>
    <row r="1366" spans="1:5" s="1" customFormat="1" ht="34.5" customHeight="1">
      <c r="A1366" s="2">
        <v>1364</v>
      </c>
      <c r="B1366" s="2" t="str">
        <f>"35932021121310061467103"</f>
        <v>35932021121310061467103</v>
      </c>
      <c r="C1366" s="2" t="s">
        <v>10</v>
      </c>
      <c r="D1366" s="2" t="str">
        <f>"吴艺羽"</f>
        <v>吴艺羽</v>
      </c>
      <c r="E1366" s="2" t="str">
        <f>"女"</f>
        <v>女</v>
      </c>
    </row>
    <row r="1367" spans="1:5" s="1" customFormat="1" ht="34.5" customHeight="1">
      <c r="A1367" s="2">
        <v>1365</v>
      </c>
      <c r="B1367" s="2" t="str">
        <f>"35932021121310095067105"</f>
        <v>35932021121310095067105</v>
      </c>
      <c r="C1367" s="2" t="s">
        <v>10</v>
      </c>
      <c r="D1367" s="2" t="str">
        <f>"杨帆"</f>
        <v>杨帆</v>
      </c>
      <c r="E1367" s="2" t="str">
        <f>"女"</f>
        <v>女</v>
      </c>
    </row>
    <row r="1368" spans="1:5" s="1" customFormat="1" ht="34.5" customHeight="1">
      <c r="A1368" s="2">
        <v>1366</v>
      </c>
      <c r="B1368" s="2" t="str">
        <f>"35932021121310115167106"</f>
        <v>35932021121310115167106</v>
      </c>
      <c r="C1368" s="2" t="s">
        <v>10</v>
      </c>
      <c r="D1368" s="2" t="str">
        <f>"陈婕"</f>
        <v>陈婕</v>
      </c>
      <c r="E1368" s="2" t="str">
        <f>"女"</f>
        <v>女</v>
      </c>
    </row>
    <row r="1369" spans="1:5" s="1" customFormat="1" ht="34.5" customHeight="1">
      <c r="A1369" s="2">
        <v>1367</v>
      </c>
      <c r="B1369" s="2" t="str">
        <f>"35932021121310145167108"</f>
        <v>35932021121310145167108</v>
      </c>
      <c r="C1369" s="2" t="s">
        <v>10</v>
      </c>
      <c r="D1369" s="2" t="str">
        <f>"李宗"</f>
        <v>李宗</v>
      </c>
      <c r="E1369" s="2" t="str">
        <f>"男"</f>
        <v>男</v>
      </c>
    </row>
    <row r="1370" spans="1:5" s="1" customFormat="1" ht="34.5" customHeight="1">
      <c r="A1370" s="2">
        <v>1368</v>
      </c>
      <c r="B1370" s="2" t="str">
        <f>"35932021121310215967114"</f>
        <v>35932021121310215967114</v>
      </c>
      <c r="C1370" s="2" t="s">
        <v>10</v>
      </c>
      <c r="D1370" s="2" t="str">
        <f>"吴美倩"</f>
        <v>吴美倩</v>
      </c>
      <c r="E1370" s="2" t="str">
        <f>"女"</f>
        <v>女</v>
      </c>
    </row>
    <row r="1371" spans="1:5" s="1" customFormat="1" ht="34.5" customHeight="1">
      <c r="A1371" s="2">
        <v>1369</v>
      </c>
      <c r="B1371" s="2" t="str">
        <f>"35932021121310400267118"</f>
        <v>35932021121310400267118</v>
      </c>
      <c r="C1371" s="2" t="s">
        <v>10</v>
      </c>
      <c r="D1371" s="2" t="str">
        <f>"符致功"</f>
        <v>符致功</v>
      </c>
      <c r="E1371" s="2" t="str">
        <f>"男"</f>
        <v>男</v>
      </c>
    </row>
    <row r="1372" spans="1:5" s="1" customFormat="1" ht="34.5" customHeight="1">
      <c r="A1372" s="2">
        <v>1370</v>
      </c>
      <c r="B1372" s="2" t="str">
        <f>"35932021121310435867120"</f>
        <v>35932021121310435867120</v>
      </c>
      <c r="C1372" s="2" t="s">
        <v>10</v>
      </c>
      <c r="D1372" s="2" t="str">
        <f>"王莉婵"</f>
        <v>王莉婵</v>
      </c>
      <c r="E1372" s="2" t="str">
        <f>"女"</f>
        <v>女</v>
      </c>
    </row>
    <row r="1373" spans="1:5" s="1" customFormat="1" ht="34.5" customHeight="1">
      <c r="A1373" s="2">
        <v>1371</v>
      </c>
      <c r="B1373" s="2" t="str">
        <f>"35932021121311534167140"</f>
        <v>35932021121311534167140</v>
      </c>
      <c r="C1373" s="2" t="s">
        <v>10</v>
      </c>
      <c r="D1373" s="2" t="str">
        <f>"朱思静"</f>
        <v>朱思静</v>
      </c>
      <c r="E1373" s="2" t="str">
        <f>"女"</f>
        <v>女</v>
      </c>
    </row>
    <row r="1374" spans="1:5" s="1" customFormat="1" ht="34.5" customHeight="1">
      <c r="A1374" s="2">
        <v>1372</v>
      </c>
      <c r="B1374" s="2" t="str">
        <f>"35932021121312170167148"</f>
        <v>35932021121312170167148</v>
      </c>
      <c r="C1374" s="2" t="s">
        <v>10</v>
      </c>
      <c r="D1374" s="2" t="str">
        <f>"苏建源"</f>
        <v>苏建源</v>
      </c>
      <c r="E1374" s="2" t="str">
        <f>"男"</f>
        <v>男</v>
      </c>
    </row>
    <row r="1375" spans="1:5" s="1" customFormat="1" ht="34.5" customHeight="1">
      <c r="A1375" s="2">
        <v>1373</v>
      </c>
      <c r="B1375" s="2" t="str">
        <f>"35932021121312170367149"</f>
        <v>35932021121312170367149</v>
      </c>
      <c r="C1375" s="2" t="s">
        <v>10</v>
      </c>
      <c r="D1375" s="2" t="str">
        <f>"洪二妹"</f>
        <v>洪二妹</v>
      </c>
      <c r="E1375" s="2" t="str">
        <f aca="true" t="shared" si="49" ref="E1375:E1383">"女"</f>
        <v>女</v>
      </c>
    </row>
    <row r="1376" spans="1:5" s="1" customFormat="1" ht="34.5" customHeight="1">
      <c r="A1376" s="2">
        <v>1374</v>
      </c>
      <c r="B1376" s="2" t="str">
        <f>"35932021121312232867150"</f>
        <v>35932021121312232867150</v>
      </c>
      <c r="C1376" s="2" t="s">
        <v>10</v>
      </c>
      <c r="D1376" s="2" t="str">
        <f>"袁月"</f>
        <v>袁月</v>
      </c>
      <c r="E1376" s="2" t="str">
        <f t="shared" si="49"/>
        <v>女</v>
      </c>
    </row>
    <row r="1377" spans="1:5" s="1" customFormat="1" ht="34.5" customHeight="1">
      <c r="A1377" s="2">
        <v>1375</v>
      </c>
      <c r="B1377" s="2" t="str">
        <f>"35932021121312284967155"</f>
        <v>35932021121312284967155</v>
      </c>
      <c r="C1377" s="2" t="s">
        <v>10</v>
      </c>
      <c r="D1377" s="2" t="str">
        <f>"麦宜娟"</f>
        <v>麦宜娟</v>
      </c>
      <c r="E1377" s="2" t="str">
        <f t="shared" si="49"/>
        <v>女</v>
      </c>
    </row>
    <row r="1378" spans="1:5" s="1" customFormat="1" ht="34.5" customHeight="1">
      <c r="A1378" s="2">
        <v>1376</v>
      </c>
      <c r="B1378" s="2" t="str">
        <f>"35932021121313492067174"</f>
        <v>35932021121313492067174</v>
      </c>
      <c r="C1378" s="2" t="s">
        <v>10</v>
      </c>
      <c r="D1378" s="2" t="str">
        <f>"吕素洁"</f>
        <v>吕素洁</v>
      </c>
      <c r="E1378" s="2" t="str">
        <f t="shared" si="49"/>
        <v>女</v>
      </c>
    </row>
    <row r="1379" spans="1:5" s="1" customFormat="1" ht="34.5" customHeight="1">
      <c r="A1379" s="2">
        <v>1377</v>
      </c>
      <c r="B1379" s="2" t="str">
        <f>"35932021121314195267179"</f>
        <v>35932021121314195267179</v>
      </c>
      <c r="C1379" s="2" t="s">
        <v>10</v>
      </c>
      <c r="D1379" s="2" t="str">
        <f>"谢瑾"</f>
        <v>谢瑾</v>
      </c>
      <c r="E1379" s="2" t="str">
        <f t="shared" si="49"/>
        <v>女</v>
      </c>
    </row>
    <row r="1380" spans="1:5" s="1" customFormat="1" ht="34.5" customHeight="1">
      <c r="A1380" s="2">
        <v>1378</v>
      </c>
      <c r="B1380" s="2" t="str">
        <f>"35932021121314203367180"</f>
        <v>35932021121314203367180</v>
      </c>
      <c r="C1380" s="2" t="s">
        <v>10</v>
      </c>
      <c r="D1380" s="2" t="str">
        <f>"郭思源"</f>
        <v>郭思源</v>
      </c>
      <c r="E1380" s="2" t="str">
        <f t="shared" si="49"/>
        <v>女</v>
      </c>
    </row>
    <row r="1381" spans="1:5" s="1" customFormat="1" ht="34.5" customHeight="1">
      <c r="A1381" s="2">
        <v>1379</v>
      </c>
      <c r="B1381" s="2" t="str">
        <f>"35932021121314304667182"</f>
        <v>35932021121314304667182</v>
      </c>
      <c r="C1381" s="2" t="s">
        <v>10</v>
      </c>
      <c r="D1381" s="2" t="str">
        <f>"黄瑾"</f>
        <v>黄瑾</v>
      </c>
      <c r="E1381" s="2" t="str">
        <f t="shared" si="49"/>
        <v>女</v>
      </c>
    </row>
    <row r="1382" spans="1:5" s="1" customFormat="1" ht="34.5" customHeight="1">
      <c r="A1382" s="2">
        <v>1380</v>
      </c>
      <c r="B1382" s="2" t="str">
        <f>"35932021121314343267183"</f>
        <v>35932021121314343267183</v>
      </c>
      <c r="C1382" s="2" t="s">
        <v>10</v>
      </c>
      <c r="D1382" s="2" t="str">
        <f>"朱承健"</f>
        <v>朱承健</v>
      </c>
      <c r="E1382" s="2" t="str">
        <f t="shared" si="49"/>
        <v>女</v>
      </c>
    </row>
    <row r="1383" spans="1:5" s="1" customFormat="1" ht="34.5" customHeight="1">
      <c r="A1383" s="2">
        <v>1381</v>
      </c>
      <c r="B1383" s="2" t="str">
        <f>"35932021121314423567188"</f>
        <v>35932021121314423567188</v>
      </c>
      <c r="C1383" s="2" t="s">
        <v>10</v>
      </c>
      <c r="D1383" s="2" t="str">
        <f>"李雪曼"</f>
        <v>李雪曼</v>
      </c>
      <c r="E1383" s="2" t="str">
        <f t="shared" si="49"/>
        <v>女</v>
      </c>
    </row>
    <row r="1384" spans="1:5" s="1" customFormat="1" ht="34.5" customHeight="1">
      <c r="A1384" s="2">
        <v>1382</v>
      </c>
      <c r="B1384" s="2" t="str">
        <f>"35932021121314442567189"</f>
        <v>35932021121314442567189</v>
      </c>
      <c r="C1384" s="2" t="s">
        <v>10</v>
      </c>
      <c r="D1384" s="2" t="str">
        <f>"李裕华"</f>
        <v>李裕华</v>
      </c>
      <c r="E1384" s="2" t="str">
        <f>"男"</f>
        <v>男</v>
      </c>
    </row>
    <row r="1385" spans="1:5" s="1" customFormat="1" ht="34.5" customHeight="1">
      <c r="A1385" s="2">
        <v>1383</v>
      </c>
      <c r="B1385" s="2" t="str">
        <f>"35932021121314571367194"</f>
        <v>35932021121314571367194</v>
      </c>
      <c r="C1385" s="2" t="s">
        <v>10</v>
      </c>
      <c r="D1385" s="2" t="str">
        <f>"陈霏"</f>
        <v>陈霏</v>
      </c>
      <c r="E1385" s="2" t="str">
        <f>"女"</f>
        <v>女</v>
      </c>
    </row>
    <row r="1386" spans="1:5" s="1" customFormat="1" ht="34.5" customHeight="1">
      <c r="A1386" s="2">
        <v>1384</v>
      </c>
      <c r="B1386" s="2" t="str">
        <f>"35932021121315123267199"</f>
        <v>35932021121315123267199</v>
      </c>
      <c r="C1386" s="2" t="s">
        <v>10</v>
      </c>
      <c r="D1386" s="2" t="str">
        <f>"沈时华"</f>
        <v>沈时华</v>
      </c>
      <c r="E1386" s="2" t="str">
        <f>"男"</f>
        <v>男</v>
      </c>
    </row>
    <row r="1387" spans="1:5" s="1" customFormat="1" ht="34.5" customHeight="1">
      <c r="A1387" s="2">
        <v>1385</v>
      </c>
      <c r="B1387" s="2" t="str">
        <f>"35932021121315244367206"</f>
        <v>35932021121315244367206</v>
      </c>
      <c r="C1387" s="2" t="s">
        <v>10</v>
      </c>
      <c r="D1387" s="2" t="str">
        <f>"王玲笛"</f>
        <v>王玲笛</v>
      </c>
      <c r="E1387" s="2" t="str">
        <f>"女"</f>
        <v>女</v>
      </c>
    </row>
    <row r="1388" spans="1:5" s="1" customFormat="1" ht="34.5" customHeight="1">
      <c r="A1388" s="2">
        <v>1386</v>
      </c>
      <c r="B1388" s="2" t="str">
        <f>"35932021121315312167209"</f>
        <v>35932021121315312167209</v>
      </c>
      <c r="C1388" s="2" t="s">
        <v>10</v>
      </c>
      <c r="D1388" s="2" t="str">
        <f>"殷鹏锐"</f>
        <v>殷鹏锐</v>
      </c>
      <c r="E1388" s="2" t="str">
        <f>"男"</f>
        <v>男</v>
      </c>
    </row>
    <row r="1389" spans="1:5" s="1" customFormat="1" ht="34.5" customHeight="1">
      <c r="A1389" s="2">
        <v>1387</v>
      </c>
      <c r="B1389" s="2" t="str">
        <f>"35932021121315403867214"</f>
        <v>35932021121315403867214</v>
      </c>
      <c r="C1389" s="2" t="s">
        <v>10</v>
      </c>
      <c r="D1389" s="2" t="str">
        <f>"王华青"</f>
        <v>王华青</v>
      </c>
      <c r="E1389" s="2" t="str">
        <f>"女"</f>
        <v>女</v>
      </c>
    </row>
    <row r="1390" spans="1:5" s="1" customFormat="1" ht="34.5" customHeight="1">
      <c r="A1390" s="2">
        <v>1388</v>
      </c>
      <c r="B1390" s="2" t="str">
        <f>"35932021121315443067219"</f>
        <v>35932021121315443067219</v>
      </c>
      <c r="C1390" s="2" t="s">
        <v>10</v>
      </c>
      <c r="D1390" s="2" t="str">
        <f>"林家仕"</f>
        <v>林家仕</v>
      </c>
      <c r="E1390" s="2" t="str">
        <f>"男"</f>
        <v>男</v>
      </c>
    </row>
    <row r="1391" spans="1:5" s="1" customFormat="1" ht="34.5" customHeight="1">
      <c r="A1391" s="2">
        <v>1389</v>
      </c>
      <c r="B1391" s="2" t="str">
        <f>"35932021121316085867226"</f>
        <v>35932021121316085867226</v>
      </c>
      <c r="C1391" s="2" t="s">
        <v>10</v>
      </c>
      <c r="D1391" s="2" t="str">
        <f>"戴小杰"</f>
        <v>戴小杰</v>
      </c>
      <c r="E1391" s="2" t="str">
        <f aca="true" t="shared" si="50" ref="E1391:E1396">"女"</f>
        <v>女</v>
      </c>
    </row>
    <row r="1392" spans="1:5" s="1" customFormat="1" ht="34.5" customHeight="1">
      <c r="A1392" s="2">
        <v>1390</v>
      </c>
      <c r="B1392" s="2" t="str">
        <f>"35932021121316111867228"</f>
        <v>35932021121316111867228</v>
      </c>
      <c r="C1392" s="2" t="s">
        <v>10</v>
      </c>
      <c r="D1392" s="2" t="str">
        <f>"姚会利"</f>
        <v>姚会利</v>
      </c>
      <c r="E1392" s="2" t="str">
        <f t="shared" si="50"/>
        <v>女</v>
      </c>
    </row>
    <row r="1393" spans="1:5" s="1" customFormat="1" ht="34.5" customHeight="1">
      <c r="A1393" s="2">
        <v>1391</v>
      </c>
      <c r="B1393" s="2" t="str">
        <f>"35932021121316171967230"</f>
        <v>35932021121316171967230</v>
      </c>
      <c r="C1393" s="2" t="s">
        <v>10</v>
      </c>
      <c r="D1393" s="2" t="str">
        <f>"林玲玲"</f>
        <v>林玲玲</v>
      </c>
      <c r="E1393" s="2" t="str">
        <f t="shared" si="50"/>
        <v>女</v>
      </c>
    </row>
    <row r="1394" spans="1:5" s="1" customFormat="1" ht="34.5" customHeight="1">
      <c r="A1394" s="2">
        <v>1392</v>
      </c>
      <c r="B1394" s="2" t="str">
        <f>"35932021121316231767232"</f>
        <v>35932021121316231767232</v>
      </c>
      <c r="C1394" s="2" t="s">
        <v>10</v>
      </c>
      <c r="D1394" s="2" t="str">
        <f>"苟芝萍"</f>
        <v>苟芝萍</v>
      </c>
      <c r="E1394" s="2" t="str">
        <f t="shared" si="50"/>
        <v>女</v>
      </c>
    </row>
    <row r="1395" spans="1:5" s="1" customFormat="1" ht="34.5" customHeight="1">
      <c r="A1395" s="2">
        <v>1393</v>
      </c>
      <c r="B1395" s="2" t="str">
        <f>"35932021121316341267238"</f>
        <v>35932021121316341267238</v>
      </c>
      <c r="C1395" s="2" t="s">
        <v>10</v>
      </c>
      <c r="D1395" s="2" t="str">
        <f>"刘妹子"</f>
        <v>刘妹子</v>
      </c>
      <c r="E1395" s="2" t="str">
        <f t="shared" si="50"/>
        <v>女</v>
      </c>
    </row>
    <row r="1396" spans="1:5" s="1" customFormat="1" ht="34.5" customHeight="1">
      <c r="A1396" s="2">
        <v>1394</v>
      </c>
      <c r="B1396" s="2" t="str">
        <f>"35932021121316460067241"</f>
        <v>35932021121316460067241</v>
      </c>
      <c r="C1396" s="2" t="s">
        <v>10</v>
      </c>
      <c r="D1396" s="2" t="str">
        <f>"朱萍"</f>
        <v>朱萍</v>
      </c>
      <c r="E1396" s="2" t="str">
        <f t="shared" si="50"/>
        <v>女</v>
      </c>
    </row>
    <row r="1397" spans="1:5" s="1" customFormat="1" ht="34.5" customHeight="1">
      <c r="A1397" s="2">
        <v>1395</v>
      </c>
      <c r="B1397" s="2" t="str">
        <f>"35932021121316525767243"</f>
        <v>35932021121316525767243</v>
      </c>
      <c r="C1397" s="2" t="s">
        <v>10</v>
      </c>
      <c r="D1397" s="2" t="str">
        <f>"杨阳"</f>
        <v>杨阳</v>
      </c>
      <c r="E1397" s="2" t="str">
        <f>"男"</f>
        <v>男</v>
      </c>
    </row>
    <row r="1398" spans="1:5" s="1" customFormat="1" ht="34.5" customHeight="1">
      <c r="A1398" s="2">
        <v>1396</v>
      </c>
      <c r="B1398" s="2" t="str">
        <f>"35932021121316540367244"</f>
        <v>35932021121316540367244</v>
      </c>
      <c r="C1398" s="2" t="s">
        <v>10</v>
      </c>
      <c r="D1398" s="2" t="str">
        <f>"回振颖"</f>
        <v>回振颖</v>
      </c>
      <c r="E1398" s="2" t="str">
        <f aca="true" t="shared" si="51" ref="E1398:E1407">"女"</f>
        <v>女</v>
      </c>
    </row>
    <row r="1399" spans="1:5" s="1" customFormat="1" ht="34.5" customHeight="1">
      <c r="A1399" s="2">
        <v>1397</v>
      </c>
      <c r="B1399" s="2" t="str">
        <f>"35932021121317051867249"</f>
        <v>35932021121317051867249</v>
      </c>
      <c r="C1399" s="2" t="s">
        <v>10</v>
      </c>
      <c r="D1399" s="2" t="str">
        <f>"邱韵霖"</f>
        <v>邱韵霖</v>
      </c>
      <c r="E1399" s="2" t="str">
        <f t="shared" si="51"/>
        <v>女</v>
      </c>
    </row>
    <row r="1400" spans="1:5" s="1" customFormat="1" ht="34.5" customHeight="1">
      <c r="A1400" s="2">
        <v>1398</v>
      </c>
      <c r="B1400" s="2" t="str">
        <f>"35932021121317474167259"</f>
        <v>35932021121317474167259</v>
      </c>
      <c r="C1400" s="2" t="s">
        <v>10</v>
      </c>
      <c r="D1400" s="2" t="str">
        <f>"黎凤玲"</f>
        <v>黎凤玲</v>
      </c>
      <c r="E1400" s="2" t="str">
        <f t="shared" si="51"/>
        <v>女</v>
      </c>
    </row>
    <row r="1401" spans="1:5" s="1" customFormat="1" ht="34.5" customHeight="1">
      <c r="A1401" s="2">
        <v>1399</v>
      </c>
      <c r="B1401" s="2" t="str">
        <f>"35932021121317491767260"</f>
        <v>35932021121317491767260</v>
      </c>
      <c r="C1401" s="2" t="s">
        <v>10</v>
      </c>
      <c r="D1401" s="2" t="str">
        <f>"叶召琴"</f>
        <v>叶召琴</v>
      </c>
      <c r="E1401" s="2" t="str">
        <f t="shared" si="51"/>
        <v>女</v>
      </c>
    </row>
    <row r="1402" spans="1:5" s="1" customFormat="1" ht="34.5" customHeight="1">
      <c r="A1402" s="2">
        <v>1400</v>
      </c>
      <c r="B1402" s="2" t="str">
        <f>"35932021121317493567261"</f>
        <v>35932021121317493567261</v>
      </c>
      <c r="C1402" s="2" t="s">
        <v>10</v>
      </c>
      <c r="D1402" s="2" t="str">
        <f>"林小燕"</f>
        <v>林小燕</v>
      </c>
      <c r="E1402" s="2" t="str">
        <f t="shared" si="51"/>
        <v>女</v>
      </c>
    </row>
    <row r="1403" spans="1:5" s="1" customFormat="1" ht="34.5" customHeight="1">
      <c r="A1403" s="2">
        <v>1401</v>
      </c>
      <c r="B1403" s="2" t="str">
        <f>"35932021121318291367267"</f>
        <v>35932021121318291367267</v>
      </c>
      <c r="C1403" s="2" t="s">
        <v>10</v>
      </c>
      <c r="D1403" s="2" t="str">
        <f>"冯薏仙"</f>
        <v>冯薏仙</v>
      </c>
      <c r="E1403" s="2" t="str">
        <f t="shared" si="51"/>
        <v>女</v>
      </c>
    </row>
    <row r="1404" spans="1:5" s="1" customFormat="1" ht="34.5" customHeight="1">
      <c r="A1404" s="2">
        <v>1402</v>
      </c>
      <c r="B1404" s="2" t="str">
        <f>"35932021121319044967273"</f>
        <v>35932021121319044967273</v>
      </c>
      <c r="C1404" s="2" t="s">
        <v>10</v>
      </c>
      <c r="D1404" s="2" t="str">
        <f>"王燕丹"</f>
        <v>王燕丹</v>
      </c>
      <c r="E1404" s="2" t="str">
        <f t="shared" si="51"/>
        <v>女</v>
      </c>
    </row>
    <row r="1405" spans="1:5" s="1" customFormat="1" ht="34.5" customHeight="1">
      <c r="A1405" s="2">
        <v>1403</v>
      </c>
      <c r="B1405" s="2" t="str">
        <f>"35932021121320330867294"</f>
        <v>35932021121320330867294</v>
      </c>
      <c r="C1405" s="2" t="s">
        <v>10</v>
      </c>
      <c r="D1405" s="2" t="str">
        <f>"许亚能"</f>
        <v>许亚能</v>
      </c>
      <c r="E1405" s="2" t="str">
        <f t="shared" si="51"/>
        <v>女</v>
      </c>
    </row>
    <row r="1406" spans="1:5" s="1" customFormat="1" ht="34.5" customHeight="1">
      <c r="A1406" s="2">
        <v>1404</v>
      </c>
      <c r="B1406" s="2" t="str">
        <f>"35932021121320523567301"</f>
        <v>35932021121320523567301</v>
      </c>
      <c r="C1406" s="2" t="s">
        <v>10</v>
      </c>
      <c r="D1406" s="2" t="str">
        <f>"温铂茎"</f>
        <v>温铂茎</v>
      </c>
      <c r="E1406" s="2" t="str">
        <f t="shared" si="51"/>
        <v>女</v>
      </c>
    </row>
    <row r="1407" spans="1:5" s="1" customFormat="1" ht="34.5" customHeight="1">
      <c r="A1407" s="2">
        <v>1405</v>
      </c>
      <c r="B1407" s="2" t="str">
        <f>"35932021121320582167303"</f>
        <v>35932021121320582167303</v>
      </c>
      <c r="C1407" s="2" t="s">
        <v>10</v>
      </c>
      <c r="D1407" s="2" t="str">
        <f>"蔡林言"</f>
        <v>蔡林言</v>
      </c>
      <c r="E1407" s="2" t="str">
        <f t="shared" si="51"/>
        <v>女</v>
      </c>
    </row>
    <row r="1408" spans="1:5" s="1" customFormat="1" ht="34.5" customHeight="1">
      <c r="A1408" s="2">
        <v>1406</v>
      </c>
      <c r="B1408" s="2" t="str">
        <f>"35932021121321012267304"</f>
        <v>35932021121321012267304</v>
      </c>
      <c r="C1408" s="2" t="s">
        <v>10</v>
      </c>
      <c r="D1408" s="2" t="str">
        <f>"王财"</f>
        <v>王财</v>
      </c>
      <c r="E1408" s="2" t="str">
        <f>"男"</f>
        <v>男</v>
      </c>
    </row>
    <row r="1409" spans="1:5" s="1" customFormat="1" ht="34.5" customHeight="1">
      <c r="A1409" s="2">
        <v>1407</v>
      </c>
      <c r="B1409" s="2" t="str">
        <f>"35932021121321173267311"</f>
        <v>35932021121321173267311</v>
      </c>
      <c r="C1409" s="2" t="s">
        <v>10</v>
      </c>
      <c r="D1409" s="2" t="str">
        <f>"韦美宣"</f>
        <v>韦美宣</v>
      </c>
      <c r="E1409" s="2" t="str">
        <f>"女"</f>
        <v>女</v>
      </c>
    </row>
    <row r="1410" spans="1:5" s="1" customFormat="1" ht="34.5" customHeight="1">
      <c r="A1410" s="2">
        <v>1408</v>
      </c>
      <c r="B1410" s="2" t="str">
        <f>"35932021121321324567317"</f>
        <v>35932021121321324567317</v>
      </c>
      <c r="C1410" s="2" t="s">
        <v>10</v>
      </c>
      <c r="D1410" s="2" t="str">
        <f>"王平珍"</f>
        <v>王平珍</v>
      </c>
      <c r="E1410" s="2" t="str">
        <f>"女"</f>
        <v>女</v>
      </c>
    </row>
    <row r="1411" spans="1:5" s="1" customFormat="1" ht="34.5" customHeight="1">
      <c r="A1411" s="2">
        <v>1409</v>
      </c>
      <c r="B1411" s="2" t="str">
        <f>"35932021121321380767319"</f>
        <v>35932021121321380767319</v>
      </c>
      <c r="C1411" s="2" t="s">
        <v>10</v>
      </c>
      <c r="D1411" s="2" t="str">
        <f>"肖海燕"</f>
        <v>肖海燕</v>
      </c>
      <c r="E1411" s="2" t="str">
        <f>"女"</f>
        <v>女</v>
      </c>
    </row>
    <row r="1412" spans="1:5" s="1" customFormat="1" ht="34.5" customHeight="1">
      <c r="A1412" s="2">
        <v>1410</v>
      </c>
      <c r="B1412" s="2" t="str">
        <f>"35932021121321403667321"</f>
        <v>35932021121321403667321</v>
      </c>
      <c r="C1412" s="2" t="s">
        <v>10</v>
      </c>
      <c r="D1412" s="2" t="str">
        <f>"林俞彤"</f>
        <v>林俞彤</v>
      </c>
      <c r="E1412" s="2" t="str">
        <f>"女"</f>
        <v>女</v>
      </c>
    </row>
    <row r="1413" spans="1:5" s="1" customFormat="1" ht="34.5" customHeight="1">
      <c r="A1413" s="2">
        <v>1411</v>
      </c>
      <c r="B1413" s="2" t="str">
        <f>"35932021121321471667322"</f>
        <v>35932021121321471667322</v>
      </c>
      <c r="C1413" s="2" t="s">
        <v>10</v>
      </c>
      <c r="D1413" s="2" t="str">
        <f>"陈孝锦"</f>
        <v>陈孝锦</v>
      </c>
      <c r="E1413" s="2" t="str">
        <f>"男"</f>
        <v>男</v>
      </c>
    </row>
    <row r="1414" spans="1:5" s="1" customFormat="1" ht="34.5" customHeight="1">
      <c r="A1414" s="2">
        <v>1412</v>
      </c>
      <c r="B1414" s="2" t="str">
        <f>"35932021121321502567324"</f>
        <v>35932021121321502567324</v>
      </c>
      <c r="C1414" s="2" t="s">
        <v>10</v>
      </c>
      <c r="D1414" s="2" t="str">
        <f>"蔡柳蔓"</f>
        <v>蔡柳蔓</v>
      </c>
      <c r="E1414" s="2" t="str">
        <f>"女"</f>
        <v>女</v>
      </c>
    </row>
    <row r="1415" spans="1:5" s="1" customFormat="1" ht="34.5" customHeight="1">
      <c r="A1415" s="2">
        <v>1413</v>
      </c>
      <c r="B1415" s="2" t="str">
        <f>"35932021121322165667330"</f>
        <v>35932021121322165667330</v>
      </c>
      <c r="C1415" s="2" t="s">
        <v>10</v>
      </c>
      <c r="D1415" s="2" t="str">
        <f>"王松龄"</f>
        <v>王松龄</v>
      </c>
      <c r="E1415" s="2" t="str">
        <f>"男"</f>
        <v>男</v>
      </c>
    </row>
    <row r="1416" spans="1:5" s="1" customFormat="1" ht="34.5" customHeight="1">
      <c r="A1416" s="2">
        <v>1414</v>
      </c>
      <c r="B1416" s="2" t="str">
        <f>"35932021121322274867331"</f>
        <v>35932021121322274867331</v>
      </c>
      <c r="C1416" s="2" t="s">
        <v>10</v>
      </c>
      <c r="D1416" s="2" t="str">
        <f>"林琳"</f>
        <v>林琳</v>
      </c>
      <c r="E1416" s="2" t="str">
        <f>"女"</f>
        <v>女</v>
      </c>
    </row>
    <row r="1417" spans="1:5" s="1" customFormat="1" ht="34.5" customHeight="1">
      <c r="A1417" s="2">
        <v>1415</v>
      </c>
      <c r="B1417" s="2" t="str">
        <f>"35932021121322493767335"</f>
        <v>35932021121322493767335</v>
      </c>
      <c r="C1417" s="2" t="s">
        <v>10</v>
      </c>
      <c r="D1417" s="2" t="str">
        <f>"蔡南虎"</f>
        <v>蔡南虎</v>
      </c>
      <c r="E1417" s="2" t="str">
        <f>"男"</f>
        <v>男</v>
      </c>
    </row>
    <row r="1418" spans="1:5" s="1" customFormat="1" ht="34.5" customHeight="1">
      <c r="A1418" s="2">
        <v>1416</v>
      </c>
      <c r="B1418" s="2" t="str">
        <f>"35932021121323202867339"</f>
        <v>35932021121323202867339</v>
      </c>
      <c r="C1418" s="2" t="s">
        <v>10</v>
      </c>
      <c r="D1418" s="2" t="str">
        <f>"吴梦哲"</f>
        <v>吴梦哲</v>
      </c>
      <c r="E1418" s="2" t="str">
        <f aca="true" t="shared" si="52" ref="E1418:E1424">"女"</f>
        <v>女</v>
      </c>
    </row>
    <row r="1419" spans="1:5" s="1" customFormat="1" ht="34.5" customHeight="1">
      <c r="A1419" s="2">
        <v>1417</v>
      </c>
      <c r="B1419" s="2" t="str">
        <f>"35932021121400211267343"</f>
        <v>35932021121400211267343</v>
      </c>
      <c r="C1419" s="2" t="s">
        <v>10</v>
      </c>
      <c r="D1419" s="2" t="str">
        <f>"伍夏果"</f>
        <v>伍夏果</v>
      </c>
      <c r="E1419" s="2" t="str">
        <f t="shared" si="52"/>
        <v>女</v>
      </c>
    </row>
    <row r="1420" spans="1:5" s="1" customFormat="1" ht="34.5" customHeight="1">
      <c r="A1420" s="2">
        <v>1418</v>
      </c>
      <c r="B1420" s="2" t="str">
        <f>"35932021121408363867351"</f>
        <v>35932021121408363867351</v>
      </c>
      <c r="C1420" s="2" t="s">
        <v>10</v>
      </c>
      <c r="D1420" s="2" t="str">
        <f>"李露"</f>
        <v>李露</v>
      </c>
      <c r="E1420" s="2" t="str">
        <f t="shared" si="52"/>
        <v>女</v>
      </c>
    </row>
    <row r="1421" spans="1:5" s="1" customFormat="1" ht="34.5" customHeight="1">
      <c r="A1421" s="2">
        <v>1419</v>
      </c>
      <c r="B1421" s="2" t="str">
        <f>"35932021121408582367353"</f>
        <v>35932021121408582367353</v>
      </c>
      <c r="C1421" s="2" t="s">
        <v>10</v>
      </c>
      <c r="D1421" s="2" t="str">
        <f>"谢秋霞"</f>
        <v>谢秋霞</v>
      </c>
      <c r="E1421" s="2" t="str">
        <f t="shared" si="52"/>
        <v>女</v>
      </c>
    </row>
    <row r="1422" spans="1:5" s="1" customFormat="1" ht="34.5" customHeight="1">
      <c r="A1422" s="2">
        <v>1420</v>
      </c>
      <c r="B1422" s="2" t="str">
        <f>"35932021121409083467355"</f>
        <v>35932021121409083467355</v>
      </c>
      <c r="C1422" s="2" t="s">
        <v>10</v>
      </c>
      <c r="D1422" s="2" t="str">
        <f>"李双吉"</f>
        <v>李双吉</v>
      </c>
      <c r="E1422" s="2" t="str">
        <f t="shared" si="52"/>
        <v>女</v>
      </c>
    </row>
    <row r="1423" spans="1:5" s="1" customFormat="1" ht="34.5" customHeight="1">
      <c r="A1423" s="2">
        <v>1421</v>
      </c>
      <c r="B1423" s="2" t="str">
        <f>"35932021121409131467357"</f>
        <v>35932021121409131467357</v>
      </c>
      <c r="C1423" s="2" t="s">
        <v>10</v>
      </c>
      <c r="D1423" s="2" t="str">
        <f>"郑雅耳"</f>
        <v>郑雅耳</v>
      </c>
      <c r="E1423" s="2" t="str">
        <f t="shared" si="52"/>
        <v>女</v>
      </c>
    </row>
    <row r="1424" spans="1:5" s="1" customFormat="1" ht="34.5" customHeight="1">
      <c r="A1424" s="2">
        <v>1422</v>
      </c>
      <c r="B1424" s="2" t="str">
        <f>"35932021121409322967361"</f>
        <v>35932021121409322967361</v>
      </c>
      <c r="C1424" s="2" t="s">
        <v>10</v>
      </c>
      <c r="D1424" s="2" t="str">
        <f>"符金燕"</f>
        <v>符金燕</v>
      </c>
      <c r="E1424" s="2" t="str">
        <f t="shared" si="52"/>
        <v>女</v>
      </c>
    </row>
    <row r="1425" spans="1:5" s="1" customFormat="1" ht="34.5" customHeight="1">
      <c r="A1425" s="2">
        <v>1423</v>
      </c>
      <c r="B1425" s="2" t="str">
        <f>"35932021121409381167366"</f>
        <v>35932021121409381167366</v>
      </c>
      <c r="C1425" s="2" t="s">
        <v>10</v>
      </c>
      <c r="D1425" s="2" t="str">
        <f>"白鹏"</f>
        <v>白鹏</v>
      </c>
      <c r="E1425" s="2" t="str">
        <f>"男"</f>
        <v>男</v>
      </c>
    </row>
    <row r="1426" spans="1:5" s="1" customFormat="1" ht="34.5" customHeight="1">
      <c r="A1426" s="2">
        <v>1424</v>
      </c>
      <c r="B1426" s="2" t="str">
        <f>"35932021121409542467370"</f>
        <v>35932021121409542467370</v>
      </c>
      <c r="C1426" s="2" t="s">
        <v>10</v>
      </c>
      <c r="D1426" s="2" t="str">
        <f>"黄垂敏"</f>
        <v>黄垂敏</v>
      </c>
      <c r="E1426" s="2" t="str">
        <f>"女"</f>
        <v>女</v>
      </c>
    </row>
    <row r="1427" spans="1:5" s="1" customFormat="1" ht="34.5" customHeight="1">
      <c r="A1427" s="2">
        <v>1425</v>
      </c>
      <c r="B1427" s="2" t="str">
        <f>"35932021121410021667371"</f>
        <v>35932021121410021667371</v>
      </c>
      <c r="C1427" s="2" t="s">
        <v>10</v>
      </c>
      <c r="D1427" s="2" t="str">
        <f>"徐济海"</f>
        <v>徐济海</v>
      </c>
      <c r="E1427" s="2" t="str">
        <f>"男"</f>
        <v>男</v>
      </c>
    </row>
    <row r="1428" spans="1:5" s="1" customFormat="1" ht="34.5" customHeight="1">
      <c r="A1428" s="2">
        <v>1426</v>
      </c>
      <c r="B1428" s="2" t="str">
        <f>"35932021121410164767374"</f>
        <v>35932021121410164767374</v>
      </c>
      <c r="C1428" s="2" t="s">
        <v>10</v>
      </c>
      <c r="D1428" s="2" t="str">
        <f>"周进宝"</f>
        <v>周进宝</v>
      </c>
      <c r="E1428" s="2" t="str">
        <f>"女"</f>
        <v>女</v>
      </c>
    </row>
    <row r="1429" spans="1:5" s="1" customFormat="1" ht="34.5" customHeight="1">
      <c r="A1429" s="2">
        <v>1427</v>
      </c>
      <c r="B1429" s="2" t="str">
        <f>"35932021121410284467381"</f>
        <v>35932021121410284467381</v>
      </c>
      <c r="C1429" s="2" t="s">
        <v>10</v>
      </c>
      <c r="D1429" s="2" t="str">
        <f>"王燕"</f>
        <v>王燕</v>
      </c>
      <c r="E1429" s="2" t="str">
        <f>"女"</f>
        <v>女</v>
      </c>
    </row>
    <row r="1430" spans="1:5" s="1" customFormat="1" ht="34.5" customHeight="1">
      <c r="A1430" s="2">
        <v>1428</v>
      </c>
      <c r="B1430" s="2" t="str">
        <f>"35932021121410395867384"</f>
        <v>35932021121410395867384</v>
      </c>
      <c r="C1430" s="2" t="s">
        <v>10</v>
      </c>
      <c r="D1430" s="2" t="str">
        <f>"冯剑雄"</f>
        <v>冯剑雄</v>
      </c>
      <c r="E1430" s="2" t="str">
        <f>"男"</f>
        <v>男</v>
      </c>
    </row>
    <row r="1431" spans="1:5" s="1" customFormat="1" ht="34.5" customHeight="1">
      <c r="A1431" s="2">
        <v>1429</v>
      </c>
      <c r="B1431" s="2" t="str">
        <f>"35932021121411251167395"</f>
        <v>35932021121411251167395</v>
      </c>
      <c r="C1431" s="2" t="s">
        <v>10</v>
      </c>
      <c r="D1431" s="2" t="str">
        <f>"林杨鸿"</f>
        <v>林杨鸿</v>
      </c>
      <c r="E1431" s="2" t="str">
        <f>"男"</f>
        <v>男</v>
      </c>
    </row>
    <row r="1432" spans="1:5" s="1" customFormat="1" ht="34.5" customHeight="1">
      <c r="A1432" s="2">
        <v>1430</v>
      </c>
      <c r="B1432" s="2" t="str">
        <f>"35932021121411252467396"</f>
        <v>35932021121411252467396</v>
      </c>
      <c r="C1432" s="2" t="s">
        <v>10</v>
      </c>
      <c r="D1432" s="2" t="str">
        <f>"岑望子"</f>
        <v>岑望子</v>
      </c>
      <c r="E1432" s="2" t="str">
        <f>"女"</f>
        <v>女</v>
      </c>
    </row>
    <row r="1433" spans="1:5" s="1" customFormat="1" ht="34.5" customHeight="1">
      <c r="A1433" s="2">
        <v>1431</v>
      </c>
      <c r="B1433" s="2" t="str">
        <f>"35932021121411364067401"</f>
        <v>35932021121411364067401</v>
      </c>
      <c r="C1433" s="2" t="s">
        <v>10</v>
      </c>
      <c r="D1433" s="2" t="str">
        <f>"郭航"</f>
        <v>郭航</v>
      </c>
      <c r="E1433" s="2" t="str">
        <f>"男"</f>
        <v>男</v>
      </c>
    </row>
    <row r="1434" spans="1:5" s="1" customFormat="1" ht="34.5" customHeight="1">
      <c r="A1434" s="2">
        <v>1432</v>
      </c>
      <c r="B1434" s="2" t="str">
        <f>"35932021121412082867407"</f>
        <v>35932021121412082867407</v>
      </c>
      <c r="C1434" s="2" t="s">
        <v>10</v>
      </c>
      <c r="D1434" s="2" t="str">
        <f>"符明惠"</f>
        <v>符明惠</v>
      </c>
      <c r="E1434" s="2" t="str">
        <f>"女"</f>
        <v>女</v>
      </c>
    </row>
    <row r="1435" spans="1:5" s="1" customFormat="1" ht="34.5" customHeight="1">
      <c r="A1435" s="2">
        <v>1433</v>
      </c>
      <c r="B1435" s="2" t="str">
        <f>"35932021121412273967413"</f>
        <v>35932021121412273967413</v>
      </c>
      <c r="C1435" s="2" t="s">
        <v>10</v>
      </c>
      <c r="D1435" s="2" t="str">
        <f>"李盈盈"</f>
        <v>李盈盈</v>
      </c>
      <c r="E1435" s="2" t="str">
        <f>"女"</f>
        <v>女</v>
      </c>
    </row>
    <row r="1436" spans="1:5" s="1" customFormat="1" ht="34.5" customHeight="1">
      <c r="A1436" s="2">
        <v>1434</v>
      </c>
      <c r="B1436" s="2" t="str">
        <f>"35932021121413155567420"</f>
        <v>35932021121413155567420</v>
      </c>
      <c r="C1436" s="2" t="s">
        <v>10</v>
      </c>
      <c r="D1436" s="2" t="str">
        <f>"路璐"</f>
        <v>路璐</v>
      </c>
      <c r="E1436" s="2" t="str">
        <f>"女"</f>
        <v>女</v>
      </c>
    </row>
    <row r="1437" spans="1:5" s="1" customFormat="1" ht="34.5" customHeight="1">
      <c r="A1437" s="2">
        <v>1435</v>
      </c>
      <c r="B1437" s="2" t="str">
        <f>"35932021121413540067427"</f>
        <v>35932021121413540067427</v>
      </c>
      <c r="C1437" s="2" t="s">
        <v>10</v>
      </c>
      <c r="D1437" s="2" t="str">
        <f>"文菲菲"</f>
        <v>文菲菲</v>
      </c>
      <c r="E1437" s="2" t="str">
        <f>"女"</f>
        <v>女</v>
      </c>
    </row>
    <row r="1438" spans="1:5" s="1" customFormat="1" ht="34.5" customHeight="1">
      <c r="A1438" s="2">
        <v>1436</v>
      </c>
      <c r="B1438" s="2" t="str">
        <f>"35932021121414074167429"</f>
        <v>35932021121414074167429</v>
      </c>
      <c r="C1438" s="2" t="s">
        <v>10</v>
      </c>
      <c r="D1438" s="2" t="str">
        <f>"柯彩珍"</f>
        <v>柯彩珍</v>
      </c>
      <c r="E1438" s="2" t="str">
        <f>"女"</f>
        <v>女</v>
      </c>
    </row>
    <row r="1439" spans="1:5" s="1" customFormat="1" ht="34.5" customHeight="1">
      <c r="A1439" s="2">
        <v>1437</v>
      </c>
      <c r="B1439" s="2" t="str">
        <f>"35932021121415002267440"</f>
        <v>35932021121415002267440</v>
      </c>
      <c r="C1439" s="2" t="s">
        <v>10</v>
      </c>
      <c r="D1439" s="2" t="str">
        <f>"周润"</f>
        <v>周润</v>
      </c>
      <c r="E1439" s="2" t="str">
        <f>"男"</f>
        <v>男</v>
      </c>
    </row>
    <row r="1440" spans="1:5" s="1" customFormat="1" ht="34.5" customHeight="1">
      <c r="A1440" s="2">
        <v>1438</v>
      </c>
      <c r="B1440" s="2" t="str">
        <f>"35932021121415013467441"</f>
        <v>35932021121415013467441</v>
      </c>
      <c r="C1440" s="2" t="s">
        <v>10</v>
      </c>
      <c r="D1440" s="2" t="str">
        <f>"郑银"</f>
        <v>郑银</v>
      </c>
      <c r="E1440" s="2" t="str">
        <f aca="true" t="shared" si="53" ref="E1440:E1450">"女"</f>
        <v>女</v>
      </c>
    </row>
    <row r="1441" spans="1:5" s="1" customFormat="1" ht="34.5" customHeight="1">
      <c r="A1441" s="2">
        <v>1439</v>
      </c>
      <c r="B1441" s="2" t="str">
        <f>"35932021121415033067442"</f>
        <v>35932021121415033067442</v>
      </c>
      <c r="C1441" s="2" t="s">
        <v>10</v>
      </c>
      <c r="D1441" s="2" t="str">
        <f>"李玉婕"</f>
        <v>李玉婕</v>
      </c>
      <c r="E1441" s="2" t="str">
        <f t="shared" si="53"/>
        <v>女</v>
      </c>
    </row>
    <row r="1442" spans="1:5" s="1" customFormat="1" ht="34.5" customHeight="1">
      <c r="A1442" s="2">
        <v>1440</v>
      </c>
      <c r="B1442" s="2" t="str">
        <f>"35932021121415174367443"</f>
        <v>35932021121415174367443</v>
      </c>
      <c r="C1442" s="2" t="s">
        <v>10</v>
      </c>
      <c r="D1442" s="2" t="str">
        <f>"谢青校"</f>
        <v>谢青校</v>
      </c>
      <c r="E1442" s="2" t="str">
        <f t="shared" si="53"/>
        <v>女</v>
      </c>
    </row>
    <row r="1443" spans="1:5" s="1" customFormat="1" ht="34.5" customHeight="1">
      <c r="A1443" s="2">
        <v>1441</v>
      </c>
      <c r="B1443" s="2" t="str">
        <f>"35932021121415323667450"</f>
        <v>35932021121415323667450</v>
      </c>
      <c r="C1443" s="2" t="s">
        <v>10</v>
      </c>
      <c r="D1443" s="2" t="str">
        <f>"梁淑勤"</f>
        <v>梁淑勤</v>
      </c>
      <c r="E1443" s="2" t="str">
        <f t="shared" si="53"/>
        <v>女</v>
      </c>
    </row>
    <row r="1444" spans="1:5" s="1" customFormat="1" ht="34.5" customHeight="1">
      <c r="A1444" s="2">
        <v>1442</v>
      </c>
      <c r="B1444" s="2" t="str">
        <f>"35932021121415550267453"</f>
        <v>35932021121415550267453</v>
      </c>
      <c r="C1444" s="2" t="s">
        <v>10</v>
      </c>
      <c r="D1444" s="2" t="str">
        <f>"王婷婷"</f>
        <v>王婷婷</v>
      </c>
      <c r="E1444" s="2" t="str">
        <f t="shared" si="53"/>
        <v>女</v>
      </c>
    </row>
    <row r="1445" spans="1:5" s="1" customFormat="1" ht="34.5" customHeight="1">
      <c r="A1445" s="2">
        <v>1443</v>
      </c>
      <c r="B1445" s="2" t="str">
        <f>"35932021121416254067464"</f>
        <v>35932021121416254067464</v>
      </c>
      <c r="C1445" s="2" t="s">
        <v>10</v>
      </c>
      <c r="D1445" s="2" t="str">
        <f>"符少菊"</f>
        <v>符少菊</v>
      </c>
      <c r="E1445" s="2" t="str">
        <f t="shared" si="53"/>
        <v>女</v>
      </c>
    </row>
    <row r="1446" spans="1:5" s="1" customFormat="1" ht="34.5" customHeight="1">
      <c r="A1446" s="2">
        <v>1444</v>
      </c>
      <c r="B1446" s="2" t="str">
        <f>"35932021121416351567467"</f>
        <v>35932021121416351567467</v>
      </c>
      <c r="C1446" s="2" t="s">
        <v>10</v>
      </c>
      <c r="D1446" s="2" t="str">
        <f>"项歆卓"</f>
        <v>项歆卓</v>
      </c>
      <c r="E1446" s="2" t="str">
        <f t="shared" si="53"/>
        <v>女</v>
      </c>
    </row>
    <row r="1447" spans="1:5" s="1" customFormat="1" ht="34.5" customHeight="1">
      <c r="A1447" s="2">
        <v>1445</v>
      </c>
      <c r="B1447" s="2" t="str">
        <f>"35932021121416503167468"</f>
        <v>35932021121416503167468</v>
      </c>
      <c r="C1447" s="2" t="s">
        <v>10</v>
      </c>
      <c r="D1447" s="2" t="str">
        <f>"郑翠群"</f>
        <v>郑翠群</v>
      </c>
      <c r="E1447" s="2" t="str">
        <f t="shared" si="53"/>
        <v>女</v>
      </c>
    </row>
    <row r="1448" spans="1:5" s="1" customFormat="1" ht="34.5" customHeight="1">
      <c r="A1448" s="2">
        <v>1446</v>
      </c>
      <c r="B1448" s="2" t="str">
        <f>"35932021121416505967469"</f>
        <v>35932021121416505967469</v>
      </c>
      <c r="C1448" s="2" t="s">
        <v>10</v>
      </c>
      <c r="D1448" s="2" t="str">
        <f>"唐萍"</f>
        <v>唐萍</v>
      </c>
      <c r="E1448" s="2" t="str">
        <f t="shared" si="53"/>
        <v>女</v>
      </c>
    </row>
    <row r="1449" spans="1:5" s="1" customFormat="1" ht="34.5" customHeight="1">
      <c r="A1449" s="2">
        <v>1447</v>
      </c>
      <c r="B1449" s="2" t="str">
        <f>"35932021121416590967474"</f>
        <v>35932021121416590967474</v>
      </c>
      <c r="C1449" s="2" t="s">
        <v>10</v>
      </c>
      <c r="D1449" s="2" t="str">
        <f>"林小湾"</f>
        <v>林小湾</v>
      </c>
      <c r="E1449" s="2" t="str">
        <f t="shared" si="53"/>
        <v>女</v>
      </c>
    </row>
    <row r="1450" spans="1:5" s="1" customFormat="1" ht="34.5" customHeight="1">
      <c r="A1450" s="2">
        <v>1448</v>
      </c>
      <c r="B1450" s="2" t="str">
        <f>"35932021121417050167476"</f>
        <v>35932021121417050167476</v>
      </c>
      <c r="C1450" s="2" t="s">
        <v>10</v>
      </c>
      <c r="D1450" s="2" t="str">
        <f>"陈小菊"</f>
        <v>陈小菊</v>
      </c>
      <c r="E1450" s="2" t="str">
        <f t="shared" si="53"/>
        <v>女</v>
      </c>
    </row>
    <row r="1451" spans="1:5" s="1" customFormat="1" ht="34.5" customHeight="1">
      <c r="A1451" s="2">
        <v>1449</v>
      </c>
      <c r="B1451" s="2" t="str">
        <f>"35932021121417050667477"</f>
        <v>35932021121417050667477</v>
      </c>
      <c r="C1451" s="2" t="s">
        <v>10</v>
      </c>
      <c r="D1451" s="2" t="str">
        <f>"林茂"</f>
        <v>林茂</v>
      </c>
      <c r="E1451" s="2" t="str">
        <f>"男"</f>
        <v>男</v>
      </c>
    </row>
    <row r="1452" spans="1:5" s="1" customFormat="1" ht="34.5" customHeight="1">
      <c r="A1452" s="2">
        <v>1450</v>
      </c>
      <c r="B1452" s="2" t="str">
        <f>"35932021121417090567478"</f>
        <v>35932021121417090567478</v>
      </c>
      <c r="C1452" s="2" t="s">
        <v>10</v>
      </c>
      <c r="D1452" s="2" t="str">
        <f>"何婷"</f>
        <v>何婷</v>
      </c>
      <c r="E1452" s="2" t="str">
        <f>"女"</f>
        <v>女</v>
      </c>
    </row>
    <row r="1453" spans="1:5" s="1" customFormat="1" ht="34.5" customHeight="1">
      <c r="A1453" s="2">
        <v>1451</v>
      </c>
      <c r="B1453" s="2" t="str">
        <f>"35932021121417215867481"</f>
        <v>35932021121417215867481</v>
      </c>
      <c r="C1453" s="2" t="s">
        <v>10</v>
      </c>
      <c r="D1453" s="2" t="str">
        <f>"边高洁"</f>
        <v>边高洁</v>
      </c>
      <c r="E1453" s="2" t="str">
        <f>"女"</f>
        <v>女</v>
      </c>
    </row>
    <row r="1454" spans="1:5" s="1" customFormat="1" ht="34.5" customHeight="1">
      <c r="A1454" s="2">
        <v>1452</v>
      </c>
      <c r="B1454" s="2" t="str">
        <f>"35932021121417594067486"</f>
        <v>35932021121417594067486</v>
      </c>
      <c r="C1454" s="2" t="s">
        <v>10</v>
      </c>
      <c r="D1454" s="2" t="str">
        <f>"吴秋颜"</f>
        <v>吴秋颜</v>
      </c>
      <c r="E1454" s="2" t="str">
        <f>"女"</f>
        <v>女</v>
      </c>
    </row>
    <row r="1455" spans="1:5" s="1" customFormat="1" ht="34.5" customHeight="1">
      <c r="A1455" s="2">
        <v>1453</v>
      </c>
      <c r="B1455" s="2" t="str">
        <f>"35932021121418082367487"</f>
        <v>35932021121418082367487</v>
      </c>
      <c r="C1455" s="2" t="s">
        <v>10</v>
      </c>
      <c r="D1455" s="2" t="str">
        <f>"李兰"</f>
        <v>李兰</v>
      </c>
      <c r="E1455" s="2" t="str">
        <f>"女"</f>
        <v>女</v>
      </c>
    </row>
    <row r="1456" spans="1:5" s="1" customFormat="1" ht="34.5" customHeight="1">
      <c r="A1456" s="2">
        <v>1454</v>
      </c>
      <c r="B1456" s="2" t="str">
        <f>"35932021121418403967491"</f>
        <v>35932021121418403967491</v>
      </c>
      <c r="C1456" s="2" t="s">
        <v>10</v>
      </c>
      <c r="D1456" s="2" t="str">
        <f>"李徐浪"</f>
        <v>李徐浪</v>
      </c>
      <c r="E1456" s="2" t="str">
        <f>"男"</f>
        <v>男</v>
      </c>
    </row>
    <row r="1457" spans="1:5" s="1" customFormat="1" ht="34.5" customHeight="1">
      <c r="A1457" s="2">
        <v>1455</v>
      </c>
      <c r="B1457" s="2" t="str">
        <f>"35932021121419040667494"</f>
        <v>35932021121419040667494</v>
      </c>
      <c r="C1457" s="2" t="s">
        <v>10</v>
      </c>
      <c r="D1457" s="2" t="str">
        <f>"莫璐榕"</f>
        <v>莫璐榕</v>
      </c>
      <c r="E1457" s="2" t="str">
        <f>"女"</f>
        <v>女</v>
      </c>
    </row>
    <row r="1458" spans="1:5" s="1" customFormat="1" ht="34.5" customHeight="1">
      <c r="A1458" s="2">
        <v>1456</v>
      </c>
      <c r="B1458" s="2" t="str">
        <f>"35932021121419061367495"</f>
        <v>35932021121419061367495</v>
      </c>
      <c r="C1458" s="2" t="s">
        <v>10</v>
      </c>
      <c r="D1458" s="2" t="str">
        <f>"袁新萍"</f>
        <v>袁新萍</v>
      </c>
      <c r="E1458" s="2" t="str">
        <f>"女"</f>
        <v>女</v>
      </c>
    </row>
    <row r="1459" spans="1:5" s="1" customFormat="1" ht="34.5" customHeight="1">
      <c r="A1459" s="2">
        <v>1457</v>
      </c>
      <c r="B1459" s="2" t="str">
        <f>"35932021121419072667496"</f>
        <v>35932021121419072667496</v>
      </c>
      <c r="C1459" s="2" t="s">
        <v>10</v>
      </c>
      <c r="D1459" s="2" t="str">
        <f>"杨欣桐"</f>
        <v>杨欣桐</v>
      </c>
      <c r="E1459" s="2" t="str">
        <f>"女"</f>
        <v>女</v>
      </c>
    </row>
    <row r="1460" spans="1:5" s="1" customFormat="1" ht="34.5" customHeight="1">
      <c r="A1460" s="2">
        <v>1458</v>
      </c>
      <c r="B1460" s="2" t="str">
        <f>"35932021121419195867497"</f>
        <v>35932021121419195867497</v>
      </c>
      <c r="C1460" s="2" t="s">
        <v>10</v>
      </c>
      <c r="D1460" s="2" t="str">
        <f>"何文君"</f>
        <v>何文君</v>
      </c>
      <c r="E1460" s="2" t="str">
        <f>"女"</f>
        <v>女</v>
      </c>
    </row>
    <row r="1461" spans="1:5" s="1" customFormat="1" ht="34.5" customHeight="1">
      <c r="A1461" s="2">
        <v>1459</v>
      </c>
      <c r="B1461" s="2" t="str">
        <f>"35932021121419431667499"</f>
        <v>35932021121419431667499</v>
      </c>
      <c r="C1461" s="2" t="s">
        <v>10</v>
      </c>
      <c r="D1461" s="2" t="str">
        <f>"黄宗武"</f>
        <v>黄宗武</v>
      </c>
      <c r="E1461" s="2" t="str">
        <f>"男"</f>
        <v>男</v>
      </c>
    </row>
    <row r="1462" spans="1:5" s="1" customFormat="1" ht="34.5" customHeight="1">
      <c r="A1462" s="2">
        <v>1460</v>
      </c>
      <c r="B1462" s="2" t="str">
        <f>"35932021121420210567506"</f>
        <v>35932021121420210567506</v>
      </c>
      <c r="C1462" s="2" t="s">
        <v>10</v>
      </c>
      <c r="D1462" s="2" t="str">
        <f>"陈琳"</f>
        <v>陈琳</v>
      </c>
      <c r="E1462" s="2" t="str">
        <f>"女"</f>
        <v>女</v>
      </c>
    </row>
    <row r="1463" spans="1:5" s="1" customFormat="1" ht="34.5" customHeight="1">
      <c r="A1463" s="2">
        <v>1461</v>
      </c>
      <c r="B1463" s="2" t="str">
        <f>"35932021121420321967508"</f>
        <v>35932021121420321967508</v>
      </c>
      <c r="C1463" s="2" t="s">
        <v>10</v>
      </c>
      <c r="D1463" s="2" t="str">
        <f>"赵哺霖"</f>
        <v>赵哺霖</v>
      </c>
      <c r="E1463" s="2" t="str">
        <f>"男"</f>
        <v>男</v>
      </c>
    </row>
    <row r="1464" spans="1:5" s="1" customFormat="1" ht="34.5" customHeight="1">
      <c r="A1464" s="2">
        <v>1462</v>
      </c>
      <c r="B1464" s="2" t="str">
        <f>"35932021121420590267513"</f>
        <v>35932021121420590267513</v>
      </c>
      <c r="C1464" s="2" t="s">
        <v>10</v>
      </c>
      <c r="D1464" s="2" t="str">
        <f>"曾星"</f>
        <v>曾星</v>
      </c>
      <c r="E1464" s="2" t="str">
        <f aca="true" t="shared" si="54" ref="E1464:E1470">"女"</f>
        <v>女</v>
      </c>
    </row>
    <row r="1465" spans="1:5" s="1" customFormat="1" ht="34.5" customHeight="1">
      <c r="A1465" s="2">
        <v>1463</v>
      </c>
      <c r="B1465" s="2" t="str">
        <f>"35932021121421032767515"</f>
        <v>35932021121421032767515</v>
      </c>
      <c r="C1465" s="2" t="s">
        <v>10</v>
      </c>
      <c r="D1465" s="2" t="str">
        <f>"符丹虹"</f>
        <v>符丹虹</v>
      </c>
      <c r="E1465" s="2" t="str">
        <f t="shared" si="54"/>
        <v>女</v>
      </c>
    </row>
    <row r="1466" spans="1:5" s="1" customFormat="1" ht="34.5" customHeight="1">
      <c r="A1466" s="2">
        <v>1464</v>
      </c>
      <c r="B1466" s="2" t="str">
        <f>"35932021121421043567516"</f>
        <v>35932021121421043567516</v>
      </c>
      <c r="C1466" s="2" t="s">
        <v>10</v>
      </c>
      <c r="D1466" s="2" t="str">
        <f>"谢凡欣"</f>
        <v>谢凡欣</v>
      </c>
      <c r="E1466" s="2" t="str">
        <f t="shared" si="54"/>
        <v>女</v>
      </c>
    </row>
    <row r="1467" spans="1:5" s="1" customFormat="1" ht="34.5" customHeight="1">
      <c r="A1467" s="2">
        <v>1465</v>
      </c>
      <c r="B1467" s="2" t="str">
        <f>"35932021121421254467524"</f>
        <v>35932021121421254467524</v>
      </c>
      <c r="C1467" s="2" t="s">
        <v>10</v>
      </c>
      <c r="D1467" s="2" t="str">
        <f>"吴花苑"</f>
        <v>吴花苑</v>
      </c>
      <c r="E1467" s="2" t="str">
        <f t="shared" si="54"/>
        <v>女</v>
      </c>
    </row>
    <row r="1468" spans="1:5" s="1" customFormat="1" ht="34.5" customHeight="1">
      <c r="A1468" s="2">
        <v>1466</v>
      </c>
      <c r="B1468" s="2" t="str">
        <f>"35932021121421283967526"</f>
        <v>35932021121421283967526</v>
      </c>
      <c r="C1468" s="2" t="s">
        <v>10</v>
      </c>
      <c r="D1468" s="2" t="str">
        <f>"张婷婷"</f>
        <v>张婷婷</v>
      </c>
      <c r="E1468" s="2" t="str">
        <f t="shared" si="54"/>
        <v>女</v>
      </c>
    </row>
    <row r="1469" spans="1:5" s="1" customFormat="1" ht="34.5" customHeight="1">
      <c r="A1469" s="2">
        <v>1467</v>
      </c>
      <c r="B1469" s="2" t="str">
        <f>"35932021121421371867527"</f>
        <v>35932021121421371867527</v>
      </c>
      <c r="C1469" s="2" t="s">
        <v>10</v>
      </c>
      <c r="D1469" s="2" t="str">
        <f>"吉愉"</f>
        <v>吉愉</v>
      </c>
      <c r="E1469" s="2" t="str">
        <f t="shared" si="54"/>
        <v>女</v>
      </c>
    </row>
    <row r="1470" spans="1:5" s="1" customFormat="1" ht="34.5" customHeight="1">
      <c r="A1470" s="2">
        <v>1468</v>
      </c>
      <c r="B1470" s="2" t="str">
        <f>"35932021121421403067528"</f>
        <v>35932021121421403067528</v>
      </c>
      <c r="C1470" s="2" t="s">
        <v>10</v>
      </c>
      <c r="D1470" s="2" t="str">
        <f>"符怡漫"</f>
        <v>符怡漫</v>
      </c>
      <c r="E1470" s="2" t="str">
        <f t="shared" si="54"/>
        <v>女</v>
      </c>
    </row>
    <row r="1471" spans="1:5" s="1" customFormat="1" ht="34.5" customHeight="1">
      <c r="A1471" s="2">
        <v>1469</v>
      </c>
      <c r="B1471" s="2" t="str">
        <f>"35932021121422221167540"</f>
        <v>35932021121422221167540</v>
      </c>
      <c r="C1471" s="2" t="s">
        <v>10</v>
      </c>
      <c r="D1471" s="2" t="str">
        <f>"方其巍"</f>
        <v>方其巍</v>
      </c>
      <c r="E1471" s="2" t="str">
        <f>"男"</f>
        <v>男</v>
      </c>
    </row>
    <row r="1472" spans="1:5" s="1" customFormat="1" ht="34.5" customHeight="1">
      <c r="A1472" s="2">
        <v>1470</v>
      </c>
      <c r="B1472" s="2" t="str">
        <f>"35932021121423051767550"</f>
        <v>35932021121423051767550</v>
      </c>
      <c r="C1472" s="2" t="s">
        <v>10</v>
      </c>
      <c r="D1472" s="2" t="str">
        <f>"莫壮宇"</f>
        <v>莫壮宇</v>
      </c>
      <c r="E1472" s="2" t="str">
        <f>"男"</f>
        <v>男</v>
      </c>
    </row>
    <row r="1473" spans="1:5" s="1" customFormat="1" ht="34.5" customHeight="1">
      <c r="A1473" s="2">
        <v>1471</v>
      </c>
      <c r="B1473" s="2" t="str">
        <f>"35932021121423053167551"</f>
        <v>35932021121423053167551</v>
      </c>
      <c r="C1473" s="2" t="s">
        <v>10</v>
      </c>
      <c r="D1473" s="2" t="str">
        <f>"陈贤明"</f>
        <v>陈贤明</v>
      </c>
      <c r="E1473" s="2" t="str">
        <f>"男"</f>
        <v>男</v>
      </c>
    </row>
    <row r="1474" spans="1:5" s="1" customFormat="1" ht="34.5" customHeight="1">
      <c r="A1474" s="2">
        <v>1472</v>
      </c>
      <c r="B1474" s="2" t="str">
        <f>"35932021121423115967554"</f>
        <v>35932021121423115967554</v>
      </c>
      <c r="C1474" s="2" t="s">
        <v>10</v>
      </c>
      <c r="D1474" s="2" t="str">
        <f>"刘思"</f>
        <v>刘思</v>
      </c>
      <c r="E1474" s="2" t="str">
        <f>"女"</f>
        <v>女</v>
      </c>
    </row>
    <row r="1475" spans="1:5" s="1" customFormat="1" ht="34.5" customHeight="1">
      <c r="A1475" s="2">
        <v>1473</v>
      </c>
      <c r="B1475" s="2" t="str">
        <f>"35932021121502364767561"</f>
        <v>35932021121502364767561</v>
      </c>
      <c r="C1475" s="2" t="s">
        <v>10</v>
      </c>
      <c r="D1475" s="2" t="str">
        <f>"符子栋"</f>
        <v>符子栋</v>
      </c>
      <c r="E1475" s="2" t="str">
        <f>"男"</f>
        <v>男</v>
      </c>
    </row>
    <row r="1476" spans="1:5" s="1" customFormat="1" ht="34.5" customHeight="1">
      <c r="A1476" s="2">
        <v>1474</v>
      </c>
      <c r="B1476" s="2" t="str">
        <f>"35932021121503583967562"</f>
        <v>35932021121503583967562</v>
      </c>
      <c r="C1476" s="2" t="s">
        <v>10</v>
      </c>
      <c r="D1476" s="2" t="str">
        <f>"符琼尹"</f>
        <v>符琼尹</v>
      </c>
      <c r="E1476" s="2" t="str">
        <f aca="true" t="shared" si="55" ref="E1476:E1492">"女"</f>
        <v>女</v>
      </c>
    </row>
    <row r="1477" spans="1:5" s="1" customFormat="1" ht="34.5" customHeight="1">
      <c r="A1477" s="2">
        <v>1475</v>
      </c>
      <c r="B1477" s="2" t="str">
        <f>"35932021121507373567564"</f>
        <v>35932021121507373567564</v>
      </c>
      <c r="C1477" s="2" t="s">
        <v>10</v>
      </c>
      <c r="D1477" s="2" t="str">
        <f>"陈秋菊"</f>
        <v>陈秋菊</v>
      </c>
      <c r="E1477" s="2" t="str">
        <f t="shared" si="55"/>
        <v>女</v>
      </c>
    </row>
    <row r="1478" spans="1:5" s="1" customFormat="1" ht="34.5" customHeight="1">
      <c r="A1478" s="2">
        <v>1476</v>
      </c>
      <c r="B1478" s="2" t="str">
        <f>"35932021121508312967568"</f>
        <v>35932021121508312967568</v>
      </c>
      <c r="C1478" s="2" t="s">
        <v>10</v>
      </c>
      <c r="D1478" s="2" t="str">
        <f>"陈文灵"</f>
        <v>陈文灵</v>
      </c>
      <c r="E1478" s="2" t="str">
        <f t="shared" si="55"/>
        <v>女</v>
      </c>
    </row>
    <row r="1479" spans="1:5" s="1" customFormat="1" ht="34.5" customHeight="1">
      <c r="A1479" s="2">
        <v>1477</v>
      </c>
      <c r="B1479" s="2" t="str">
        <f>"35932021121509073967574"</f>
        <v>35932021121509073967574</v>
      </c>
      <c r="C1479" s="2" t="s">
        <v>10</v>
      </c>
      <c r="D1479" s="2" t="str">
        <f>"朱云雨"</f>
        <v>朱云雨</v>
      </c>
      <c r="E1479" s="2" t="str">
        <f t="shared" si="55"/>
        <v>女</v>
      </c>
    </row>
    <row r="1480" spans="1:5" s="1" customFormat="1" ht="34.5" customHeight="1">
      <c r="A1480" s="2">
        <v>1478</v>
      </c>
      <c r="B1480" s="2" t="str">
        <f>"35932021121509185567577"</f>
        <v>35932021121509185567577</v>
      </c>
      <c r="C1480" s="2" t="s">
        <v>10</v>
      </c>
      <c r="D1480" s="2" t="str">
        <f>"刘女爱"</f>
        <v>刘女爱</v>
      </c>
      <c r="E1480" s="2" t="str">
        <f t="shared" si="55"/>
        <v>女</v>
      </c>
    </row>
    <row r="1481" spans="1:5" s="1" customFormat="1" ht="34.5" customHeight="1">
      <c r="A1481" s="2">
        <v>1479</v>
      </c>
      <c r="B1481" s="2" t="str">
        <f>"35932021121509363867583"</f>
        <v>35932021121509363867583</v>
      </c>
      <c r="C1481" s="2" t="s">
        <v>10</v>
      </c>
      <c r="D1481" s="2" t="str">
        <f>"许佳佳"</f>
        <v>许佳佳</v>
      </c>
      <c r="E1481" s="2" t="str">
        <f t="shared" si="55"/>
        <v>女</v>
      </c>
    </row>
    <row r="1482" spans="1:5" s="1" customFormat="1" ht="34.5" customHeight="1">
      <c r="A1482" s="2">
        <v>1480</v>
      </c>
      <c r="B1482" s="2" t="str">
        <f>"35932021121509585867591"</f>
        <v>35932021121509585867591</v>
      </c>
      <c r="C1482" s="2" t="s">
        <v>10</v>
      </c>
      <c r="D1482" s="2" t="str">
        <f>"钟凤连"</f>
        <v>钟凤连</v>
      </c>
      <c r="E1482" s="2" t="str">
        <f t="shared" si="55"/>
        <v>女</v>
      </c>
    </row>
    <row r="1483" spans="1:5" s="1" customFormat="1" ht="34.5" customHeight="1">
      <c r="A1483" s="2">
        <v>1481</v>
      </c>
      <c r="B1483" s="2" t="str">
        <f>"35932021121510113667594"</f>
        <v>35932021121510113667594</v>
      </c>
      <c r="C1483" s="2" t="s">
        <v>10</v>
      </c>
      <c r="D1483" s="2" t="str">
        <f>"黄懿美"</f>
        <v>黄懿美</v>
      </c>
      <c r="E1483" s="2" t="str">
        <f t="shared" si="55"/>
        <v>女</v>
      </c>
    </row>
    <row r="1484" spans="1:5" s="1" customFormat="1" ht="34.5" customHeight="1">
      <c r="A1484" s="2">
        <v>1482</v>
      </c>
      <c r="B1484" s="2" t="str">
        <f>"35932021121510395367600"</f>
        <v>35932021121510395367600</v>
      </c>
      <c r="C1484" s="2" t="s">
        <v>10</v>
      </c>
      <c r="D1484" s="2" t="str">
        <f>"符达基"</f>
        <v>符达基</v>
      </c>
      <c r="E1484" s="2" t="str">
        <f t="shared" si="55"/>
        <v>女</v>
      </c>
    </row>
    <row r="1485" spans="1:5" s="1" customFormat="1" ht="34.5" customHeight="1">
      <c r="A1485" s="2">
        <v>1483</v>
      </c>
      <c r="B1485" s="2" t="str">
        <f>"35932021121510454467601"</f>
        <v>35932021121510454467601</v>
      </c>
      <c r="C1485" s="2" t="s">
        <v>10</v>
      </c>
      <c r="D1485" s="2" t="str">
        <f>"陈丽叶"</f>
        <v>陈丽叶</v>
      </c>
      <c r="E1485" s="2" t="str">
        <f t="shared" si="55"/>
        <v>女</v>
      </c>
    </row>
    <row r="1486" spans="1:5" s="1" customFormat="1" ht="34.5" customHeight="1">
      <c r="A1486" s="2">
        <v>1484</v>
      </c>
      <c r="B1486" s="2" t="str">
        <f>"35932021121511064667603"</f>
        <v>35932021121511064667603</v>
      </c>
      <c r="C1486" s="2" t="s">
        <v>10</v>
      </c>
      <c r="D1486" s="2" t="str">
        <f>"许方玲"</f>
        <v>许方玲</v>
      </c>
      <c r="E1486" s="2" t="str">
        <f t="shared" si="55"/>
        <v>女</v>
      </c>
    </row>
    <row r="1487" spans="1:5" s="1" customFormat="1" ht="34.5" customHeight="1">
      <c r="A1487" s="2">
        <v>1485</v>
      </c>
      <c r="B1487" s="2" t="str">
        <f>"35932021121511260867606"</f>
        <v>35932021121511260867606</v>
      </c>
      <c r="C1487" s="2" t="s">
        <v>10</v>
      </c>
      <c r="D1487" s="2" t="str">
        <f>"邢艺"</f>
        <v>邢艺</v>
      </c>
      <c r="E1487" s="2" t="str">
        <f t="shared" si="55"/>
        <v>女</v>
      </c>
    </row>
    <row r="1488" spans="1:5" s="1" customFormat="1" ht="34.5" customHeight="1">
      <c r="A1488" s="2">
        <v>1486</v>
      </c>
      <c r="B1488" s="2" t="str">
        <f>"35932021121511302467608"</f>
        <v>35932021121511302467608</v>
      </c>
      <c r="C1488" s="2" t="s">
        <v>10</v>
      </c>
      <c r="D1488" s="2" t="str">
        <f>"何倩凌"</f>
        <v>何倩凌</v>
      </c>
      <c r="E1488" s="2" t="str">
        <f t="shared" si="55"/>
        <v>女</v>
      </c>
    </row>
    <row r="1489" spans="1:5" s="1" customFormat="1" ht="34.5" customHeight="1">
      <c r="A1489" s="2">
        <v>1487</v>
      </c>
      <c r="B1489" s="2" t="str">
        <f>"35932021121511452067610"</f>
        <v>35932021121511452067610</v>
      </c>
      <c r="C1489" s="2" t="s">
        <v>10</v>
      </c>
      <c r="D1489" s="2" t="str">
        <f>"利柳青"</f>
        <v>利柳青</v>
      </c>
      <c r="E1489" s="2" t="str">
        <f t="shared" si="55"/>
        <v>女</v>
      </c>
    </row>
    <row r="1490" spans="1:5" s="1" customFormat="1" ht="34.5" customHeight="1">
      <c r="A1490" s="2">
        <v>1488</v>
      </c>
      <c r="B1490" s="2" t="str">
        <f>"35932021121513131467621"</f>
        <v>35932021121513131467621</v>
      </c>
      <c r="C1490" s="2" t="s">
        <v>10</v>
      </c>
      <c r="D1490" s="2" t="str">
        <f>"陈钰"</f>
        <v>陈钰</v>
      </c>
      <c r="E1490" s="2" t="str">
        <f t="shared" si="55"/>
        <v>女</v>
      </c>
    </row>
    <row r="1491" spans="1:5" s="1" customFormat="1" ht="34.5" customHeight="1">
      <c r="A1491" s="2">
        <v>1489</v>
      </c>
      <c r="B1491" s="2" t="str">
        <f>"35932021121514001967625"</f>
        <v>35932021121514001967625</v>
      </c>
      <c r="C1491" s="2" t="s">
        <v>10</v>
      </c>
      <c r="D1491" s="2" t="str">
        <f>"万宇威"</f>
        <v>万宇威</v>
      </c>
      <c r="E1491" s="2" t="str">
        <f t="shared" si="55"/>
        <v>女</v>
      </c>
    </row>
    <row r="1492" spans="1:5" s="1" customFormat="1" ht="34.5" customHeight="1">
      <c r="A1492" s="2">
        <v>1490</v>
      </c>
      <c r="B1492" s="2" t="str">
        <f>"35932021121514261167628"</f>
        <v>35932021121514261167628</v>
      </c>
      <c r="C1492" s="2" t="s">
        <v>10</v>
      </c>
      <c r="D1492" s="2" t="str">
        <f>"叶思杏"</f>
        <v>叶思杏</v>
      </c>
      <c r="E1492" s="2" t="str">
        <f t="shared" si="55"/>
        <v>女</v>
      </c>
    </row>
    <row r="1493" spans="1:5" s="1" customFormat="1" ht="34.5" customHeight="1">
      <c r="A1493" s="2">
        <v>1491</v>
      </c>
      <c r="B1493" s="2" t="str">
        <f>"35932021121515164267636"</f>
        <v>35932021121515164267636</v>
      </c>
      <c r="C1493" s="2" t="s">
        <v>10</v>
      </c>
      <c r="D1493" s="2" t="str">
        <f>"吴自强"</f>
        <v>吴自强</v>
      </c>
      <c r="E1493" s="2" t="str">
        <f>"男"</f>
        <v>男</v>
      </c>
    </row>
    <row r="1494" spans="1:5" s="1" customFormat="1" ht="34.5" customHeight="1">
      <c r="A1494" s="2">
        <v>1492</v>
      </c>
      <c r="B1494" s="2" t="str">
        <f>"35932021121515210667638"</f>
        <v>35932021121515210667638</v>
      </c>
      <c r="C1494" s="2" t="s">
        <v>10</v>
      </c>
      <c r="D1494" s="2" t="str">
        <f>"苏晓珍"</f>
        <v>苏晓珍</v>
      </c>
      <c r="E1494" s="2" t="str">
        <f>"女"</f>
        <v>女</v>
      </c>
    </row>
    <row r="1495" spans="1:5" s="1" customFormat="1" ht="34.5" customHeight="1">
      <c r="A1495" s="2">
        <v>1493</v>
      </c>
      <c r="B1495" s="2" t="str">
        <f>"35932021121515543767642"</f>
        <v>35932021121515543767642</v>
      </c>
      <c r="C1495" s="2" t="s">
        <v>10</v>
      </c>
      <c r="D1495" s="2" t="str">
        <f>"蒙冠文"</f>
        <v>蒙冠文</v>
      </c>
      <c r="E1495" s="2" t="str">
        <f>"男"</f>
        <v>男</v>
      </c>
    </row>
    <row r="1496" spans="1:5" s="1" customFormat="1" ht="34.5" customHeight="1">
      <c r="A1496" s="2">
        <v>1494</v>
      </c>
      <c r="B1496" s="2" t="str">
        <f>"35932021121515555967643"</f>
        <v>35932021121515555967643</v>
      </c>
      <c r="C1496" s="2" t="s">
        <v>10</v>
      </c>
      <c r="D1496" s="2" t="str">
        <f>"谢岳秦"</f>
        <v>谢岳秦</v>
      </c>
      <c r="E1496" s="2" t="str">
        <f>"男"</f>
        <v>男</v>
      </c>
    </row>
    <row r="1497" spans="1:5" s="1" customFormat="1" ht="34.5" customHeight="1">
      <c r="A1497" s="2">
        <v>1495</v>
      </c>
      <c r="B1497" s="2" t="str">
        <f>"35932021121516020367649"</f>
        <v>35932021121516020367649</v>
      </c>
      <c r="C1497" s="2" t="s">
        <v>10</v>
      </c>
      <c r="D1497" s="2" t="str">
        <f>"苏永良"</f>
        <v>苏永良</v>
      </c>
      <c r="E1497" s="2" t="str">
        <f>"男"</f>
        <v>男</v>
      </c>
    </row>
    <row r="1498" spans="1:5" s="1" customFormat="1" ht="34.5" customHeight="1">
      <c r="A1498" s="2">
        <v>1496</v>
      </c>
      <c r="B1498" s="2" t="str">
        <f>"35932021121516434367661"</f>
        <v>35932021121516434367661</v>
      </c>
      <c r="C1498" s="2" t="s">
        <v>10</v>
      </c>
      <c r="D1498" s="2" t="str">
        <f>"陈巧婵"</f>
        <v>陈巧婵</v>
      </c>
      <c r="E1498" s="2" t="str">
        <f>"女"</f>
        <v>女</v>
      </c>
    </row>
    <row r="1499" spans="1:5" s="1" customFormat="1" ht="34.5" customHeight="1">
      <c r="A1499" s="2">
        <v>1497</v>
      </c>
      <c r="B1499" s="2" t="str">
        <f>"35932021121517065667666"</f>
        <v>35932021121517065667666</v>
      </c>
      <c r="C1499" s="2" t="s">
        <v>10</v>
      </c>
      <c r="D1499" s="2" t="str">
        <f>"黄进文"</f>
        <v>黄进文</v>
      </c>
      <c r="E1499" s="2" t="str">
        <f>"男"</f>
        <v>男</v>
      </c>
    </row>
    <row r="1500" spans="1:5" s="1" customFormat="1" ht="34.5" customHeight="1">
      <c r="A1500" s="2">
        <v>1498</v>
      </c>
      <c r="B1500" s="2" t="str">
        <f>"35932021121517151467667"</f>
        <v>35932021121517151467667</v>
      </c>
      <c r="C1500" s="2" t="s">
        <v>10</v>
      </c>
      <c r="D1500" s="2" t="str">
        <f>"曾祥慧"</f>
        <v>曾祥慧</v>
      </c>
      <c r="E1500" s="2" t="str">
        <f>"女"</f>
        <v>女</v>
      </c>
    </row>
    <row r="1501" spans="1:5" s="1" customFormat="1" ht="34.5" customHeight="1">
      <c r="A1501" s="2">
        <v>1499</v>
      </c>
      <c r="B1501" s="2" t="str">
        <f>"35932021121517195967669"</f>
        <v>35932021121517195967669</v>
      </c>
      <c r="C1501" s="2" t="s">
        <v>10</v>
      </c>
      <c r="D1501" s="2" t="str">
        <f>"文雯"</f>
        <v>文雯</v>
      </c>
      <c r="E1501" s="2" t="str">
        <f>"女"</f>
        <v>女</v>
      </c>
    </row>
    <row r="1502" spans="1:5" s="1" customFormat="1" ht="34.5" customHeight="1">
      <c r="A1502" s="2">
        <v>1500</v>
      </c>
      <c r="B1502" s="2" t="str">
        <f>"35932021121517203767670"</f>
        <v>35932021121517203767670</v>
      </c>
      <c r="C1502" s="2" t="s">
        <v>10</v>
      </c>
      <c r="D1502" s="2" t="str">
        <f>"陈珊珊"</f>
        <v>陈珊珊</v>
      </c>
      <c r="E1502" s="2" t="str">
        <f>"女"</f>
        <v>女</v>
      </c>
    </row>
    <row r="1503" spans="1:5" s="1" customFormat="1" ht="34.5" customHeight="1">
      <c r="A1503" s="2">
        <v>1501</v>
      </c>
      <c r="B1503" s="2" t="str">
        <f>"35932021121517455567678"</f>
        <v>35932021121517455567678</v>
      </c>
      <c r="C1503" s="2" t="s">
        <v>10</v>
      </c>
      <c r="D1503" s="2" t="str">
        <f>"李保德"</f>
        <v>李保德</v>
      </c>
      <c r="E1503" s="2" t="str">
        <f>"男"</f>
        <v>男</v>
      </c>
    </row>
    <row r="1504" spans="1:5" s="1" customFormat="1" ht="34.5" customHeight="1">
      <c r="A1504" s="2">
        <v>1502</v>
      </c>
      <c r="B1504" s="2" t="str">
        <f>"35932021121519101767694"</f>
        <v>35932021121519101767694</v>
      </c>
      <c r="C1504" s="2" t="s">
        <v>10</v>
      </c>
      <c r="D1504" s="2" t="str">
        <f>"杨悦"</f>
        <v>杨悦</v>
      </c>
      <c r="E1504" s="2" t="str">
        <f>"女"</f>
        <v>女</v>
      </c>
    </row>
    <row r="1505" spans="1:5" s="1" customFormat="1" ht="34.5" customHeight="1">
      <c r="A1505" s="2">
        <v>1503</v>
      </c>
      <c r="B1505" s="2" t="str">
        <f>"35932021121519195267697"</f>
        <v>35932021121519195267697</v>
      </c>
      <c r="C1505" s="2" t="s">
        <v>10</v>
      </c>
      <c r="D1505" s="2" t="str">
        <f>"陈丽婉"</f>
        <v>陈丽婉</v>
      </c>
      <c r="E1505" s="2" t="str">
        <f>"女"</f>
        <v>女</v>
      </c>
    </row>
    <row r="1506" spans="1:5" s="1" customFormat="1" ht="34.5" customHeight="1">
      <c r="A1506" s="2">
        <v>1504</v>
      </c>
      <c r="B1506" s="2" t="str">
        <f>"35932021121519512467703"</f>
        <v>35932021121519512467703</v>
      </c>
      <c r="C1506" s="2" t="s">
        <v>10</v>
      </c>
      <c r="D1506" s="2" t="str">
        <f>"潘晓婷"</f>
        <v>潘晓婷</v>
      </c>
      <c r="E1506" s="2" t="str">
        <f>"女"</f>
        <v>女</v>
      </c>
    </row>
    <row r="1507" spans="1:5" s="1" customFormat="1" ht="34.5" customHeight="1">
      <c r="A1507" s="2">
        <v>1505</v>
      </c>
      <c r="B1507" s="2" t="str">
        <f>"35932021121520300667715"</f>
        <v>35932021121520300667715</v>
      </c>
      <c r="C1507" s="2" t="s">
        <v>10</v>
      </c>
      <c r="D1507" s="2" t="str">
        <f>"张园铃"</f>
        <v>张园铃</v>
      </c>
      <c r="E1507" s="2" t="str">
        <f>"女"</f>
        <v>女</v>
      </c>
    </row>
    <row r="1508" spans="1:5" s="1" customFormat="1" ht="34.5" customHeight="1">
      <c r="A1508" s="2">
        <v>1506</v>
      </c>
      <c r="B1508" s="2" t="str">
        <f>"35932021121520423767718"</f>
        <v>35932021121520423767718</v>
      </c>
      <c r="C1508" s="2" t="s">
        <v>10</v>
      </c>
      <c r="D1508" s="2" t="str">
        <f>"罗宇"</f>
        <v>罗宇</v>
      </c>
      <c r="E1508" s="2" t="str">
        <f>"男"</f>
        <v>男</v>
      </c>
    </row>
    <row r="1509" spans="1:5" s="1" customFormat="1" ht="34.5" customHeight="1">
      <c r="A1509" s="2">
        <v>1507</v>
      </c>
      <c r="B1509" s="2" t="str">
        <f>"35932021121521220867726"</f>
        <v>35932021121521220867726</v>
      </c>
      <c r="C1509" s="2" t="s">
        <v>10</v>
      </c>
      <c r="D1509" s="2" t="str">
        <f>"张云雪"</f>
        <v>张云雪</v>
      </c>
      <c r="E1509" s="2" t="str">
        <f aca="true" t="shared" si="56" ref="E1509:E1515">"女"</f>
        <v>女</v>
      </c>
    </row>
    <row r="1510" spans="1:5" s="1" customFormat="1" ht="34.5" customHeight="1">
      <c r="A1510" s="2">
        <v>1508</v>
      </c>
      <c r="B1510" s="2" t="str">
        <f>"35932021121521353767730"</f>
        <v>35932021121521353767730</v>
      </c>
      <c r="C1510" s="2" t="s">
        <v>10</v>
      </c>
      <c r="D1510" s="2" t="str">
        <f>"劳小顺"</f>
        <v>劳小顺</v>
      </c>
      <c r="E1510" s="2" t="str">
        <f t="shared" si="56"/>
        <v>女</v>
      </c>
    </row>
    <row r="1511" spans="1:5" s="1" customFormat="1" ht="34.5" customHeight="1">
      <c r="A1511" s="2">
        <v>1509</v>
      </c>
      <c r="B1511" s="2" t="str">
        <f>"35932021121521413567732"</f>
        <v>35932021121521413567732</v>
      </c>
      <c r="C1511" s="2" t="s">
        <v>10</v>
      </c>
      <c r="D1511" s="2" t="str">
        <f>"傅国翠"</f>
        <v>傅国翠</v>
      </c>
      <c r="E1511" s="2" t="str">
        <f t="shared" si="56"/>
        <v>女</v>
      </c>
    </row>
    <row r="1512" spans="1:5" s="1" customFormat="1" ht="34.5" customHeight="1">
      <c r="A1512" s="2">
        <v>1510</v>
      </c>
      <c r="B1512" s="2" t="str">
        <f>"35932021121522170967738"</f>
        <v>35932021121522170967738</v>
      </c>
      <c r="C1512" s="2" t="s">
        <v>10</v>
      </c>
      <c r="D1512" s="2" t="str">
        <f>"林明瑶"</f>
        <v>林明瑶</v>
      </c>
      <c r="E1512" s="2" t="str">
        <f t="shared" si="56"/>
        <v>女</v>
      </c>
    </row>
    <row r="1513" spans="1:5" s="1" customFormat="1" ht="34.5" customHeight="1">
      <c r="A1513" s="2">
        <v>1511</v>
      </c>
      <c r="B1513" s="2" t="str">
        <f>"35932021121522195267740"</f>
        <v>35932021121522195267740</v>
      </c>
      <c r="C1513" s="2" t="s">
        <v>10</v>
      </c>
      <c r="D1513" s="2" t="str">
        <f>"陈定蕾"</f>
        <v>陈定蕾</v>
      </c>
      <c r="E1513" s="2" t="str">
        <f t="shared" si="56"/>
        <v>女</v>
      </c>
    </row>
    <row r="1514" spans="1:5" s="1" customFormat="1" ht="34.5" customHeight="1">
      <c r="A1514" s="2">
        <v>1512</v>
      </c>
      <c r="B1514" s="2" t="str">
        <f>"35932021121523203067751"</f>
        <v>35932021121523203067751</v>
      </c>
      <c r="C1514" s="2" t="s">
        <v>10</v>
      </c>
      <c r="D1514" s="2" t="str">
        <f>"陈杨"</f>
        <v>陈杨</v>
      </c>
      <c r="E1514" s="2" t="str">
        <f t="shared" si="56"/>
        <v>女</v>
      </c>
    </row>
    <row r="1515" spans="1:5" s="1" customFormat="1" ht="34.5" customHeight="1">
      <c r="A1515" s="2">
        <v>1513</v>
      </c>
      <c r="B1515" s="2" t="str">
        <f>"35932021121523454967754"</f>
        <v>35932021121523454967754</v>
      </c>
      <c r="C1515" s="2" t="s">
        <v>10</v>
      </c>
      <c r="D1515" s="2" t="str">
        <f>"冯羽"</f>
        <v>冯羽</v>
      </c>
      <c r="E1515" s="2" t="str">
        <f t="shared" si="56"/>
        <v>女</v>
      </c>
    </row>
    <row r="1516" spans="1:5" s="1" customFormat="1" ht="34.5" customHeight="1">
      <c r="A1516" s="2">
        <v>1514</v>
      </c>
      <c r="B1516" s="2" t="str">
        <f>"35932021121523460267755"</f>
        <v>35932021121523460267755</v>
      </c>
      <c r="C1516" s="2" t="s">
        <v>10</v>
      </c>
      <c r="D1516" s="2" t="str">
        <f>"伍承文"</f>
        <v>伍承文</v>
      </c>
      <c r="E1516" s="2" t="str">
        <f>"男"</f>
        <v>男</v>
      </c>
    </row>
    <row r="1517" spans="1:5" s="1" customFormat="1" ht="34.5" customHeight="1">
      <c r="A1517" s="2">
        <v>1515</v>
      </c>
      <c r="B1517" s="2" t="str">
        <f>"35932021121523520467756"</f>
        <v>35932021121523520467756</v>
      </c>
      <c r="C1517" s="2" t="s">
        <v>10</v>
      </c>
      <c r="D1517" s="2" t="str">
        <f>"殷承辉"</f>
        <v>殷承辉</v>
      </c>
      <c r="E1517" s="2" t="str">
        <f>"男"</f>
        <v>男</v>
      </c>
    </row>
    <row r="1518" spans="1:5" s="1" customFormat="1" ht="34.5" customHeight="1">
      <c r="A1518" s="2">
        <v>1516</v>
      </c>
      <c r="B1518" s="2" t="str">
        <f>"35932021121607565967764"</f>
        <v>35932021121607565967764</v>
      </c>
      <c r="C1518" s="2" t="s">
        <v>10</v>
      </c>
      <c r="D1518" s="2" t="str">
        <f>"王汝菁"</f>
        <v>王汝菁</v>
      </c>
      <c r="E1518" s="2" t="str">
        <f>"女"</f>
        <v>女</v>
      </c>
    </row>
    <row r="1519" spans="1:5" s="1" customFormat="1" ht="34.5" customHeight="1">
      <c r="A1519" s="2">
        <v>1517</v>
      </c>
      <c r="B1519" s="2" t="str">
        <f>"35932021121608143867765"</f>
        <v>35932021121608143867765</v>
      </c>
      <c r="C1519" s="2" t="s">
        <v>10</v>
      </c>
      <c r="D1519" s="2" t="str">
        <f>"陈琪"</f>
        <v>陈琪</v>
      </c>
      <c r="E1519" s="2" t="str">
        <f>"女"</f>
        <v>女</v>
      </c>
    </row>
    <row r="1520" spans="1:5" s="1" customFormat="1" ht="34.5" customHeight="1">
      <c r="A1520" s="2">
        <v>1518</v>
      </c>
      <c r="B1520" s="2" t="str">
        <f>"35932021121608472767766"</f>
        <v>35932021121608472767766</v>
      </c>
      <c r="C1520" s="2" t="s">
        <v>10</v>
      </c>
      <c r="D1520" s="2" t="str">
        <f>"张联力"</f>
        <v>张联力</v>
      </c>
      <c r="E1520" s="2" t="str">
        <f>"男"</f>
        <v>男</v>
      </c>
    </row>
    <row r="1521" spans="1:5" s="1" customFormat="1" ht="34.5" customHeight="1">
      <c r="A1521" s="2">
        <v>1519</v>
      </c>
      <c r="B1521" s="2" t="str">
        <f>"35932021121609220567768"</f>
        <v>35932021121609220567768</v>
      </c>
      <c r="C1521" s="2" t="s">
        <v>10</v>
      </c>
      <c r="D1521" s="2" t="str">
        <f>"罗丛青"</f>
        <v>罗丛青</v>
      </c>
      <c r="E1521" s="2" t="str">
        <f>"女"</f>
        <v>女</v>
      </c>
    </row>
    <row r="1522" spans="1:5" s="1" customFormat="1" ht="34.5" customHeight="1">
      <c r="A1522" s="2">
        <v>1520</v>
      </c>
      <c r="B1522" s="2" t="str">
        <f>"35932021121609231767770"</f>
        <v>35932021121609231767770</v>
      </c>
      <c r="C1522" s="2" t="s">
        <v>10</v>
      </c>
      <c r="D1522" s="2" t="str">
        <f>"邢嘉慧"</f>
        <v>邢嘉慧</v>
      </c>
      <c r="E1522" s="2" t="str">
        <f>"女"</f>
        <v>女</v>
      </c>
    </row>
    <row r="1523" spans="1:5" s="1" customFormat="1" ht="34.5" customHeight="1">
      <c r="A1523" s="2">
        <v>1521</v>
      </c>
      <c r="B1523" s="2" t="str">
        <f>"35932021121609234067771"</f>
        <v>35932021121609234067771</v>
      </c>
      <c r="C1523" s="2" t="s">
        <v>10</v>
      </c>
      <c r="D1523" s="2" t="str">
        <f>"王俊豪"</f>
        <v>王俊豪</v>
      </c>
      <c r="E1523" s="2" t="str">
        <f>"男"</f>
        <v>男</v>
      </c>
    </row>
    <row r="1524" spans="1:5" s="1" customFormat="1" ht="34.5" customHeight="1">
      <c r="A1524" s="2">
        <v>1522</v>
      </c>
      <c r="B1524" s="2" t="str">
        <f>"35932021121609252867772"</f>
        <v>35932021121609252867772</v>
      </c>
      <c r="C1524" s="2" t="s">
        <v>10</v>
      </c>
      <c r="D1524" s="2" t="str">
        <f>"桂小雪"</f>
        <v>桂小雪</v>
      </c>
      <c r="E1524" s="2" t="str">
        <f aca="true" t="shared" si="57" ref="E1524:E1529">"女"</f>
        <v>女</v>
      </c>
    </row>
    <row r="1525" spans="1:5" s="1" customFormat="1" ht="34.5" customHeight="1">
      <c r="A1525" s="2">
        <v>1523</v>
      </c>
      <c r="B1525" s="2" t="str">
        <f>"35932021121609264767774"</f>
        <v>35932021121609264767774</v>
      </c>
      <c r="C1525" s="2" t="s">
        <v>10</v>
      </c>
      <c r="D1525" s="2" t="str">
        <f>"周晶晶"</f>
        <v>周晶晶</v>
      </c>
      <c r="E1525" s="2" t="str">
        <f t="shared" si="57"/>
        <v>女</v>
      </c>
    </row>
    <row r="1526" spans="1:5" s="1" customFormat="1" ht="34.5" customHeight="1">
      <c r="A1526" s="2">
        <v>1524</v>
      </c>
      <c r="B1526" s="2" t="str">
        <f>"35932021121610583467791"</f>
        <v>35932021121610583467791</v>
      </c>
      <c r="C1526" s="2" t="s">
        <v>10</v>
      </c>
      <c r="D1526" s="2" t="str">
        <f>"林子"</f>
        <v>林子</v>
      </c>
      <c r="E1526" s="2" t="str">
        <f t="shared" si="57"/>
        <v>女</v>
      </c>
    </row>
    <row r="1527" spans="1:5" s="1" customFormat="1" ht="34.5" customHeight="1">
      <c r="A1527" s="2">
        <v>1525</v>
      </c>
      <c r="B1527" s="2" t="str">
        <f>"35932021121611104667795"</f>
        <v>35932021121611104667795</v>
      </c>
      <c r="C1527" s="2" t="s">
        <v>10</v>
      </c>
      <c r="D1527" s="2" t="str">
        <f>"施伟婷"</f>
        <v>施伟婷</v>
      </c>
      <c r="E1527" s="2" t="str">
        <f t="shared" si="57"/>
        <v>女</v>
      </c>
    </row>
    <row r="1528" spans="1:5" s="1" customFormat="1" ht="34.5" customHeight="1">
      <c r="A1528" s="2">
        <v>1526</v>
      </c>
      <c r="B1528" s="2" t="str">
        <f>"35932021121611231867802"</f>
        <v>35932021121611231867802</v>
      </c>
      <c r="C1528" s="2" t="s">
        <v>10</v>
      </c>
      <c r="D1528" s="2" t="str">
        <f>"金琳"</f>
        <v>金琳</v>
      </c>
      <c r="E1528" s="2" t="str">
        <f t="shared" si="57"/>
        <v>女</v>
      </c>
    </row>
    <row r="1529" spans="1:5" s="1" customFormat="1" ht="34.5" customHeight="1">
      <c r="A1529" s="2">
        <v>1527</v>
      </c>
      <c r="B1529" s="2" t="str">
        <f>"35932021121611233467803"</f>
        <v>35932021121611233467803</v>
      </c>
      <c r="C1529" s="2" t="s">
        <v>10</v>
      </c>
      <c r="D1529" s="2" t="str">
        <f>"何冬梅"</f>
        <v>何冬梅</v>
      </c>
      <c r="E1529" s="2" t="str">
        <f t="shared" si="57"/>
        <v>女</v>
      </c>
    </row>
    <row r="1530" spans="1:5" s="1" customFormat="1" ht="34.5" customHeight="1">
      <c r="A1530" s="2">
        <v>1528</v>
      </c>
      <c r="B1530" s="2" t="str">
        <f>"35932021121612340267820"</f>
        <v>35932021121612340267820</v>
      </c>
      <c r="C1530" s="2" t="s">
        <v>10</v>
      </c>
      <c r="D1530" s="2" t="str">
        <f>"黄兴翔"</f>
        <v>黄兴翔</v>
      </c>
      <c r="E1530" s="2" t="str">
        <f>"男"</f>
        <v>男</v>
      </c>
    </row>
    <row r="1531" spans="1:5" s="1" customFormat="1" ht="34.5" customHeight="1">
      <c r="A1531" s="2">
        <v>1529</v>
      </c>
      <c r="B1531" s="2" t="str">
        <f>"35932021121612345067821"</f>
        <v>35932021121612345067821</v>
      </c>
      <c r="C1531" s="2" t="s">
        <v>10</v>
      </c>
      <c r="D1531" s="2" t="str">
        <f>"杨慧瑛"</f>
        <v>杨慧瑛</v>
      </c>
      <c r="E1531" s="2" t="str">
        <f>"女"</f>
        <v>女</v>
      </c>
    </row>
    <row r="1532" spans="1:5" s="1" customFormat="1" ht="34.5" customHeight="1">
      <c r="A1532" s="2">
        <v>1530</v>
      </c>
      <c r="B1532" s="2" t="str">
        <f>"35932021121612580067824"</f>
        <v>35932021121612580067824</v>
      </c>
      <c r="C1532" s="2" t="s">
        <v>10</v>
      </c>
      <c r="D1532" s="2" t="str">
        <f>"李立娜"</f>
        <v>李立娜</v>
      </c>
      <c r="E1532" s="2" t="str">
        <f>"女"</f>
        <v>女</v>
      </c>
    </row>
    <row r="1533" spans="1:5" s="1" customFormat="1" ht="34.5" customHeight="1">
      <c r="A1533" s="2">
        <v>1531</v>
      </c>
      <c r="B1533" s="2" t="str">
        <f>"35932021121613162067829"</f>
        <v>35932021121613162067829</v>
      </c>
      <c r="C1533" s="2" t="s">
        <v>10</v>
      </c>
      <c r="D1533" s="2" t="str">
        <f>"曾玲俐"</f>
        <v>曾玲俐</v>
      </c>
      <c r="E1533" s="2" t="str">
        <f>"女"</f>
        <v>女</v>
      </c>
    </row>
    <row r="1534" spans="1:5" s="1" customFormat="1" ht="34.5" customHeight="1">
      <c r="A1534" s="2">
        <v>1532</v>
      </c>
      <c r="B1534" s="2" t="str">
        <f>"35932021121613315567831"</f>
        <v>35932021121613315567831</v>
      </c>
      <c r="C1534" s="2" t="s">
        <v>10</v>
      </c>
      <c r="D1534" s="2" t="str">
        <f>"谢梅珠"</f>
        <v>谢梅珠</v>
      </c>
      <c r="E1534" s="2" t="str">
        <f>"女"</f>
        <v>女</v>
      </c>
    </row>
    <row r="1535" spans="1:5" s="1" customFormat="1" ht="34.5" customHeight="1">
      <c r="A1535" s="2">
        <v>1533</v>
      </c>
      <c r="B1535" s="2" t="str">
        <f>"35932021121613575667834"</f>
        <v>35932021121613575667834</v>
      </c>
      <c r="C1535" s="2" t="s">
        <v>10</v>
      </c>
      <c r="D1535" s="2" t="str">
        <f>"简雨下"</f>
        <v>简雨下</v>
      </c>
      <c r="E1535" s="2" t="str">
        <f>"女"</f>
        <v>女</v>
      </c>
    </row>
    <row r="1536" spans="1:5" s="1" customFormat="1" ht="34.5" customHeight="1">
      <c r="A1536" s="2">
        <v>1534</v>
      </c>
      <c r="B1536" s="2" t="str">
        <f>"35932021121614041967836"</f>
        <v>35932021121614041967836</v>
      </c>
      <c r="C1536" s="2" t="s">
        <v>10</v>
      </c>
      <c r="D1536" s="2" t="str">
        <f>"梁森"</f>
        <v>梁森</v>
      </c>
      <c r="E1536" s="2" t="str">
        <f>"男"</f>
        <v>男</v>
      </c>
    </row>
    <row r="1537" spans="1:5" s="1" customFormat="1" ht="34.5" customHeight="1">
      <c r="A1537" s="2">
        <v>1535</v>
      </c>
      <c r="B1537" s="2" t="str">
        <f>"35932021121614080867837"</f>
        <v>35932021121614080867837</v>
      </c>
      <c r="C1537" s="2" t="s">
        <v>10</v>
      </c>
      <c r="D1537" s="2" t="str">
        <f>"陈忠龄"</f>
        <v>陈忠龄</v>
      </c>
      <c r="E1537" s="2" t="str">
        <f>"女"</f>
        <v>女</v>
      </c>
    </row>
    <row r="1538" spans="1:5" s="1" customFormat="1" ht="34.5" customHeight="1">
      <c r="A1538" s="2">
        <v>1536</v>
      </c>
      <c r="B1538" s="2" t="str">
        <f>"35932021121615025267842"</f>
        <v>35932021121615025267842</v>
      </c>
      <c r="C1538" s="2" t="s">
        <v>10</v>
      </c>
      <c r="D1538" s="2" t="str">
        <f>"晏啸峰"</f>
        <v>晏啸峰</v>
      </c>
      <c r="E1538" s="2" t="str">
        <f>"男"</f>
        <v>男</v>
      </c>
    </row>
    <row r="1539" spans="1:5" s="1" customFormat="1" ht="34.5" customHeight="1">
      <c r="A1539" s="2">
        <v>1537</v>
      </c>
      <c r="B1539" s="2" t="str">
        <f>"35932021121616174367851"</f>
        <v>35932021121616174367851</v>
      </c>
      <c r="C1539" s="2" t="s">
        <v>10</v>
      </c>
      <c r="D1539" s="2" t="str">
        <f>"朱静"</f>
        <v>朱静</v>
      </c>
      <c r="E1539" s="2" t="str">
        <f>"女"</f>
        <v>女</v>
      </c>
    </row>
    <row r="1540" spans="1:5" s="1" customFormat="1" ht="34.5" customHeight="1">
      <c r="A1540" s="2">
        <v>1538</v>
      </c>
      <c r="B1540" s="2" t="str">
        <f>"35932021121617150667860"</f>
        <v>35932021121617150667860</v>
      </c>
      <c r="C1540" s="2" t="s">
        <v>10</v>
      </c>
      <c r="D1540" s="2" t="str">
        <f>"潘燕冰"</f>
        <v>潘燕冰</v>
      </c>
      <c r="E1540" s="2" t="str">
        <f>"女"</f>
        <v>女</v>
      </c>
    </row>
    <row r="1541" spans="1:5" s="1" customFormat="1" ht="34.5" customHeight="1">
      <c r="A1541" s="2">
        <v>1539</v>
      </c>
      <c r="B1541" s="2" t="str">
        <f>"35932021121617311367862"</f>
        <v>35932021121617311367862</v>
      </c>
      <c r="C1541" s="2" t="s">
        <v>10</v>
      </c>
      <c r="D1541" s="2" t="str">
        <f>"叶珊珊"</f>
        <v>叶珊珊</v>
      </c>
      <c r="E1541" s="2" t="str">
        <f>"女"</f>
        <v>女</v>
      </c>
    </row>
    <row r="1542" spans="1:5" s="1" customFormat="1" ht="34.5" customHeight="1">
      <c r="A1542" s="2">
        <v>1540</v>
      </c>
      <c r="B1542" s="2" t="str">
        <f>"35932021121617531967864"</f>
        <v>35932021121617531967864</v>
      </c>
      <c r="C1542" s="2" t="s">
        <v>10</v>
      </c>
      <c r="D1542" s="2" t="str">
        <f>"陈杰"</f>
        <v>陈杰</v>
      </c>
      <c r="E1542" s="2" t="str">
        <f>"男"</f>
        <v>男</v>
      </c>
    </row>
    <row r="1543" spans="1:5" s="1" customFormat="1" ht="34.5" customHeight="1">
      <c r="A1543" s="2">
        <v>1541</v>
      </c>
      <c r="B1543" s="2" t="str">
        <f>"35932021121618060267868"</f>
        <v>35932021121618060267868</v>
      </c>
      <c r="C1543" s="2" t="s">
        <v>10</v>
      </c>
      <c r="D1543" s="2" t="str">
        <f>"康瑞"</f>
        <v>康瑞</v>
      </c>
      <c r="E1543" s="2" t="str">
        <f>"女"</f>
        <v>女</v>
      </c>
    </row>
    <row r="1544" spans="1:5" s="1" customFormat="1" ht="34.5" customHeight="1">
      <c r="A1544" s="2">
        <v>1542</v>
      </c>
      <c r="B1544" s="2" t="str">
        <f>"35932021121618340067873"</f>
        <v>35932021121618340067873</v>
      </c>
      <c r="C1544" s="2" t="s">
        <v>10</v>
      </c>
      <c r="D1544" s="2" t="str">
        <f>"高云顺"</f>
        <v>高云顺</v>
      </c>
      <c r="E1544" s="2" t="str">
        <f>"男"</f>
        <v>男</v>
      </c>
    </row>
    <row r="1545" spans="1:5" s="1" customFormat="1" ht="34.5" customHeight="1">
      <c r="A1545" s="2">
        <v>1543</v>
      </c>
      <c r="B1545" s="2" t="str">
        <f>"35932021121619171167876"</f>
        <v>35932021121619171167876</v>
      </c>
      <c r="C1545" s="2" t="s">
        <v>10</v>
      </c>
      <c r="D1545" s="2" t="str">
        <f>"陈曼菁"</f>
        <v>陈曼菁</v>
      </c>
      <c r="E1545" s="2" t="str">
        <f aca="true" t="shared" si="58" ref="E1545:E1550">"女"</f>
        <v>女</v>
      </c>
    </row>
    <row r="1546" spans="1:5" s="1" customFormat="1" ht="34.5" customHeight="1">
      <c r="A1546" s="2">
        <v>1544</v>
      </c>
      <c r="B1546" s="2" t="str">
        <f>"35932021121619480767879"</f>
        <v>35932021121619480767879</v>
      </c>
      <c r="C1546" s="2" t="s">
        <v>10</v>
      </c>
      <c r="D1546" s="2" t="str">
        <f>"林书芳"</f>
        <v>林书芳</v>
      </c>
      <c r="E1546" s="2" t="str">
        <f t="shared" si="58"/>
        <v>女</v>
      </c>
    </row>
    <row r="1547" spans="1:5" s="1" customFormat="1" ht="34.5" customHeight="1">
      <c r="A1547" s="2">
        <v>1545</v>
      </c>
      <c r="B1547" s="2" t="str">
        <f>"35932021121620235267882"</f>
        <v>35932021121620235267882</v>
      </c>
      <c r="C1547" s="2" t="s">
        <v>10</v>
      </c>
      <c r="D1547" s="2" t="str">
        <f>"陈媛媛"</f>
        <v>陈媛媛</v>
      </c>
      <c r="E1547" s="2" t="str">
        <f t="shared" si="58"/>
        <v>女</v>
      </c>
    </row>
    <row r="1548" spans="1:5" s="1" customFormat="1" ht="34.5" customHeight="1">
      <c r="A1548" s="2">
        <v>1546</v>
      </c>
      <c r="B1548" s="2" t="str">
        <f>"35932021121620403767885"</f>
        <v>35932021121620403767885</v>
      </c>
      <c r="C1548" s="2" t="s">
        <v>10</v>
      </c>
      <c r="D1548" s="2" t="str">
        <f>"林宇维"</f>
        <v>林宇维</v>
      </c>
      <c r="E1548" s="2" t="str">
        <f t="shared" si="58"/>
        <v>女</v>
      </c>
    </row>
    <row r="1549" spans="1:5" s="1" customFormat="1" ht="34.5" customHeight="1">
      <c r="A1549" s="2">
        <v>1547</v>
      </c>
      <c r="B1549" s="2" t="str">
        <f>"35932021121620583967887"</f>
        <v>35932021121620583967887</v>
      </c>
      <c r="C1549" s="2" t="s">
        <v>10</v>
      </c>
      <c r="D1549" s="2" t="str">
        <f>"麦贤妹"</f>
        <v>麦贤妹</v>
      </c>
      <c r="E1549" s="2" t="str">
        <f t="shared" si="58"/>
        <v>女</v>
      </c>
    </row>
    <row r="1550" spans="1:5" s="1" customFormat="1" ht="34.5" customHeight="1">
      <c r="A1550" s="2">
        <v>1548</v>
      </c>
      <c r="B1550" s="2" t="str">
        <f>"35932021121621223567891"</f>
        <v>35932021121621223567891</v>
      </c>
      <c r="C1550" s="2" t="s">
        <v>10</v>
      </c>
      <c r="D1550" s="2" t="str">
        <f>"杨景景"</f>
        <v>杨景景</v>
      </c>
      <c r="E1550" s="2" t="str">
        <f t="shared" si="58"/>
        <v>女</v>
      </c>
    </row>
    <row r="1551" spans="1:5" s="1" customFormat="1" ht="34.5" customHeight="1">
      <c r="A1551" s="2">
        <v>1549</v>
      </c>
      <c r="B1551" s="2" t="str">
        <f>"35932021121621274667893"</f>
        <v>35932021121621274667893</v>
      </c>
      <c r="C1551" s="2" t="s">
        <v>10</v>
      </c>
      <c r="D1551" s="2" t="str">
        <f>"余盛强"</f>
        <v>余盛强</v>
      </c>
      <c r="E1551" s="2" t="str">
        <f>"男"</f>
        <v>男</v>
      </c>
    </row>
    <row r="1552" spans="1:5" s="1" customFormat="1" ht="34.5" customHeight="1">
      <c r="A1552" s="2">
        <v>1550</v>
      </c>
      <c r="B1552" s="2" t="str">
        <f>"35932021121622401067907"</f>
        <v>35932021121622401067907</v>
      </c>
      <c r="C1552" s="2" t="s">
        <v>10</v>
      </c>
      <c r="D1552" s="2" t="str">
        <f>"潘蓉"</f>
        <v>潘蓉</v>
      </c>
      <c r="E1552" s="2" t="str">
        <f>"女"</f>
        <v>女</v>
      </c>
    </row>
    <row r="1553" spans="1:5" s="1" customFormat="1" ht="34.5" customHeight="1">
      <c r="A1553" s="2">
        <v>1551</v>
      </c>
      <c r="B1553" s="2" t="str">
        <f>"35932021121623212767913"</f>
        <v>35932021121623212767913</v>
      </c>
      <c r="C1553" s="2" t="s">
        <v>10</v>
      </c>
      <c r="D1553" s="2" t="str">
        <f>"吴琪琪"</f>
        <v>吴琪琪</v>
      </c>
      <c r="E1553" s="2" t="str">
        <f>"女"</f>
        <v>女</v>
      </c>
    </row>
    <row r="1554" spans="1:5" s="1" customFormat="1" ht="34.5" customHeight="1">
      <c r="A1554" s="2">
        <v>1552</v>
      </c>
      <c r="B1554" s="2" t="str">
        <f>"35932021121708260567921"</f>
        <v>35932021121708260567921</v>
      </c>
      <c r="C1554" s="2" t="s">
        <v>10</v>
      </c>
      <c r="D1554" s="2" t="str">
        <f>"唐海东"</f>
        <v>唐海东</v>
      </c>
      <c r="E1554" s="2" t="str">
        <f>"男"</f>
        <v>男</v>
      </c>
    </row>
    <row r="1555" spans="1:5" s="1" customFormat="1" ht="34.5" customHeight="1">
      <c r="A1555" s="2">
        <v>1553</v>
      </c>
      <c r="B1555" s="2" t="str">
        <f>"35932021121708370867922"</f>
        <v>35932021121708370867922</v>
      </c>
      <c r="C1555" s="2" t="s">
        <v>10</v>
      </c>
      <c r="D1555" s="2" t="str">
        <f>"王以晨"</f>
        <v>王以晨</v>
      </c>
      <c r="E1555" s="2" t="str">
        <f>"女"</f>
        <v>女</v>
      </c>
    </row>
    <row r="1556" spans="1:5" s="1" customFormat="1" ht="34.5" customHeight="1">
      <c r="A1556" s="2">
        <v>1554</v>
      </c>
      <c r="B1556" s="2" t="str">
        <f>"35932021121709474567929"</f>
        <v>35932021121709474567929</v>
      </c>
      <c r="C1556" s="2" t="s">
        <v>10</v>
      </c>
      <c r="D1556" s="2" t="str">
        <f>"苏定胶"</f>
        <v>苏定胶</v>
      </c>
      <c r="E1556" s="2" t="str">
        <f>"男"</f>
        <v>男</v>
      </c>
    </row>
    <row r="1557" spans="1:5" s="1" customFormat="1" ht="34.5" customHeight="1">
      <c r="A1557" s="2">
        <v>1555</v>
      </c>
      <c r="B1557" s="2" t="str">
        <f>"35932021121710470467935"</f>
        <v>35932021121710470467935</v>
      </c>
      <c r="C1557" s="2" t="s">
        <v>10</v>
      </c>
      <c r="D1557" s="2" t="str">
        <f>"吴丽"</f>
        <v>吴丽</v>
      </c>
      <c r="E1557" s="2" t="str">
        <f>"女"</f>
        <v>女</v>
      </c>
    </row>
    <row r="1558" spans="1:5" s="1" customFormat="1" ht="34.5" customHeight="1">
      <c r="A1558" s="2">
        <v>1556</v>
      </c>
      <c r="B1558" s="2" t="str">
        <f>"35932021121711014367939"</f>
        <v>35932021121711014367939</v>
      </c>
      <c r="C1558" s="2" t="s">
        <v>10</v>
      </c>
      <c r="D1558" s="2" t="str">
        <f>"林桦"</f>
        <v>林桦</v>
      </c>
      <c r="E1558" s="2" t="str">
        <f>"女"</f>
        <v>女</v>
      </c>
    </row>
    <row r="1559" spans="1:5" s="1" customFormat="1" ht="34.5" customHeight="1">
      <c r="A1559" s="2">
        <v>1557</v>
      </c>
      <c r="B1559" s="2" t="str">
        <f>"35932021121711152067941"</f>
        <v>35932021121711152067941</v>
      </c>
      <c r="C1559" s="2" t="s">
        <v>10</v>
      </c>
      <c r="D1559" s="2" t="str">
        <f>"周敏"</f>
        <v>周敏</v>
      </c>
      <c r="E1559" s="2" t="str">
        <f>"女"</f>
        <v>女</v>
      </c>
    </row>
    <row r="1560" spans="1:5" s="1" customFormat="1" ht="34.5" customHeight="1">
      <c r="A1560" s="2">
        <v>1558</v>
      </c>
      <c r="B1560" s="2" t="str">
        <f>"35932021121711350667945"</f>
        <v>35932021121711350667945</v>
      </c>
      <c r="C1560" s="2" t="s">
        <v>10</v>
      </c>
      <c r="D1560" s="2" t="str">
        <f>"李贞彤"</f>
        <v>李贞彤</v>
      </c>
      <c r="E1560" s="2" t="str">
        <f>"女"</f>
        <v>女</v>
      </c>
    </row>
    <row r="1561" spans="1:5" s="1" customFormat="1" ht="34.5" customHeight="1">
      <c r="A1561" s="2">
        <v>1559</v>
      </c>
      <c r="B1561" s="2" t="str">
        <f>"35932021121711534967947"</f>
        <v>35932021121711534967947</v>
      </c>
      <c r="C1561" s="2" t="s">
        <v>10</v>
      </c>
      <c r="D1561" s="2" t="str">
        <f>"吴挺玲"</f>
        <v>吴挺玲</v>
      </c>
      <c r="E1561" s="2" t="str">
        <f>"女"</f>
        <v>女</v>
      </c>
    </row>
    <row r="1562" spans="1:5" s="1" customFormat="1" ht="34.5" customHeight="1">
      <c r="A1562" s="2">
        <v>1560</v>
      </c>
      <c r="B1562" s="2" t="str">
        <f>"35932021121712414767953"</f>
        <v>35932021121712414767953</v>
      </c>
      <c r="C1562" s="2" t="s">
        <v>10</v>
      </c>
      <c r="D1562" s="2" t="str">
        <f>"李冠霖"</f>
        <v>李冠霖</v>
      </c>
      <c r="E1562" s="2" t="str">
        <f>"男"</f>
        <v>男</v>
      </c>
    </row>
    <row r="1563" spans="1:5" s="1" customFormat="1" ht="34.5" customHeight="1">
      <c r="A1563" s="2">
        <v>1561</v>
      </c>
      <c r="B1563" s="2" t="str">
        <f>"35932021121713123167957"</f>
        <v>35932021121713123167957</v>
      </c>
      <c r="C1563" s="2" t="s">
        <v>10</v>
      </c>
      <c r="D1563" s="2" t="str">
        <f>"杨钰"</f>
        <v>杨钰</v>
      </c>
      <c r="E1563" s="2" t="str">
        <f>"女"</f>
        <v>女</v>
      </c>
    </row>
    <row r="1564" spans="1:5" s="1" customFormat="1" ht="34.5" customHeight="1">
      <c r="A1564" s="2">
        <v>1562</v>
      </c>
      <c r="B1564" s="2" t="str">
        <f>"35932021121713194267959"</f>
        <v>35932021121713194267959</v>
      </c>
      <c r="C1564" s="2" t="s">
        <v>10</v>
      </c>
      <c r="D1564" s="2" t="str">
        <f>"陈冬咪"</f>
        <v>陈冬咪</v>
      </c>
      <c r="E1564" s="2" t="str">
        <f>"女"</f>
        <v>女</v>
      </c>
    </row>
    <row r="1565" spans="1:5" s="1" customFormat="1" ht="34.5" customHeight="1">
      <c r="A1565" s="2">
        <v>1563</v>
      </c>
      <c r="B1565" s="2" t="str">
        <f>"35932021121714582567971"</f>
        <v>35932021121714582567971</v>
      </c>
      <c r="C1565" s="2" t="s">
        <v>10</v>
      </c>
      <c r="D1565" s="2" t="str">
        <f>"林倍乔"</f>
        <v>林倍乔</v>
      </c>
      <c r="E1565" s="2" t="str">
        <f>"女"</f>
        <v>女</v>
      </c>
    </row>
    <row r="1566" spans="1:5" s="1" customFormat="1" ht="34.5" customHeight="1">
      <c r="A1566" s="2">
        <v>1564</v>
      </c>
      <c r="B1566" s="2" t="str">
        <f>"35932021121715061567975"</f>
        <v>35932021121715061567975</v>
      </c>
      <c r="C1566" s="2" t="s">
        <v>10</v>
      </c>
      <c r="D1566" s="2" t="str">
        <f>"黄一镝"</f>
        <v>黄一镝</v>
      </c>
      <c r="E1566" s="2" t="str">
        <f>"女"</f>
        <v>女</v>
      </c>
    </row>
    <row r="1567" spans="1:5" s="1" customFormat="1" ht="34.5" customHeight="1">
      <c r="A1567" s="2">
        <v>1565</v>
      </c>
      <c r="B1567" s="2" t="str">
        <f>"35932021121715083367976"</f>
        <v>35932021121715083367976</v>
      </c>
      <c r="C1567" s="2" t="s">
        <v>10</v>
      </c>
      <c r="D1567" s="2" t="str">
        <f>"徐彩玲"</f>
        <v>徐彩玲</v>
      </c>
      <c r="E1567" s="2" t="str">
        <f>"女"</f>
        <v>女</v>
      </c>
    </row>
    <row r="1568" spans="1:5" s="1" customFormat="1" ht="34.5" customHeight="1">
      <c r="A1568" s="2">
        <v>1566</v>
      </c>
      <c r="B1568" s="2" t="str">
        <f>"35932021121715294267980"</f>
        <v>35932021121715294267980</v>
      </c>
      <c r="C1568" s="2" t="s">
        <v>10</v>
      </c>
      <c r="D1568" s="2" t="str">
        <f>"吴良清"</f>
        <v>吴良清</v>
      </c>
      <c r="E1568" s="2" t="str">
        <f>"男"</f>
        <v>男</v>
      </c>
    </row>
    <row r="1569" spans="1:5" s="1" customFormat="1" ht="34.5" customHeight="1">
      <c r="A1569" s="2">
        <v>1567</v>
      </c>
      <c r="B1569" s="2" t="str">
        <f>"35932021121715312967981"</f>
        <v>35932021121715312967981</v>
      </c>
      <c r="C1569" s="2" t="s">
        <v>10</v>
      </c>
      <c r="D1569" s="2" t="str">
        <f>"邱婷婷"</f>
        <v>邱婷婷</v>
      </c>
      <c r="E1569" s="2" t="str">
        <f>"女"</f>
        <v>女</v>
      </c>
    </row>
    <row r="1570" spans="1:5" s="1" customFormat="1" ht="34.5" customHeight="1">
      <c r="A1570" s="2">
        <v>1568</v>
      </c>
      <c r="B1570" s="2" t="str">
        <f>"35932021121715314267982"</f>
        <v>35932021121715314267982</v>
      </c>
      <c r="C1570" s="2" t="s">
        <v>10</v>
      </c>
      <c r="D1570" s="2" t="str">
        <f>"何婷婷"</f>
        <v>何婷婷</v>
      </c>
      <c r="E1570" s="2" t="str">
        <f>"女"</f>
        <v>女</v>
      </c>
    </row>
    <row r="1571" spans="1:5" s="1" customFormat="1" ht="34.5" customHeight="1">
      <c r="A1571" s="2">
        <v>1569</v>
      </c>
      <c r="B1571" s="2" t="str">
        <f>"35932021121715371267985"</f>
        <v>35932021121715371267985</v>
      </c>
      <c r="C1571" s="2" t="s">
        <v>10</v>
      </c>
      <c r="D1571" s="2" t="str">
        <f>"符桥"</f>
        <v>符桥</v>
      </c>
      <c r="E1571" s="2" t="str">
        <f>"男"</f>
        <v>男</v>
      </c>
    </row>
    <row r="1572" spans="1:5" s="1" customFormat="1" ht="34.5" customHeight="1">
      <c r="A1572" s="2">
        <v>1570</v>
      </c>
      <c r="B1572" s="2" t="str">
        <f>"35932021121716074667991"</f>
        <v>35932021121716074667991</v>
      </c>
      <c r="C1572" s="2" t="s">
        <v>10</v>
      </c>
      <c r="D1572" s="2" t="str">
        <f>"裴丽玥"</f>
        <v>裴丽玥</v>
      </c>
      <c r="E1572" s="2" t="str">
        <f aca="true" t="shared" si="59" ref="E1572:E1580">"女"</f>
        <v>女</v>
      </c>
    </row>
    <row r="1573" spans="1:5" s="1" customFormat="1" ht="34.5" customHeight="1">
      <c r="A1573" s="2">
        <v>1571</v>
      </c>
      <c r="B1573" s="2" t="str">
        <f>"35932021121716354067996"</f>
        <v>35932021121716354067996</v>
      </c>
      <c r="C1573" s="2" t="s">
        <v>10</v>
      </c>
      <c r="D1573" s="2" t="str">
        <f>"陈晓芳"</f>
        <v>陈晓芳</v>
      </c>
      <c r="E1573" s="2" t="str">
        <f t="shared" si="59"/>
        <v>女</v>
      </c>
    </row>
    <row r="1574" spans="1:5" s="1" customFormat="1" ht="34.5" customHeight="1">
      <c r="A1574" s="2">
        <v>1572</v>
      </c>
      <c r="B1574" s="2" t="str">
        <f>"35932021121717131068001"</f>
        <v>35932021121717131068001</v>
      </c>
      <c r="C1574" s="2" t="s">
        <v>10</v>
      </c>
      <c r="D1574" s="2" t="str">
        <f>"郑珊"</f>
        <v>郑珊</v>
      </c>
      <c r="E1574" s="2" t="str">
        <f t="shared" si="59"/>
        <v>女</v>
      </c>
    </row>
    <row r="1575" spans="1:5" s="1" customFormat="1" ht="34.5" customHeight="1">
      <c r="A1575" s="2">
        <v>1573</v>
      </c>
      <c r="B1575" s="2" t="str">
        <f>"35932021121717302568006"</f>
        <v>35932021121717302568006</v>
      </c>
      <c r="C1575" s="2" t="s">
        <v>10</v>
      </c>
      <c r="D1575" s="2" t="str">
        <f>"蔡柠羽"</f>
        <v>蔡柠羽</v>
      </c>
      <c r="E1575" s="2" t="str">
        <f t="shared" si="59"/>
        <v>女</v>
      </c>
    </row>
    <row r="1576" spans="1:5" s="1" customFormat="1" ht="34.5" customHeight="1">
      <c r="A1576" s="2">
        <v>1574</v>
      </c>
      <c r="B1576" s="2" t="str">
        <f>"35932021121718201768011"</f>
        <v>35932021121718201768011</v>
      </c>
      <c r="C1576" s="2" t="s">
        <v>10</v>
      </c>
      <c r="D1576" s="2" t="str">
        <f>"吴司南"</f>
        <v>吴司南</v>
      </c>
      <c r="E1576" s="2" t="str">
        <f t="shared" si="59"/>
        <v>女</v>
      </c>
    </row>
    <row r="1577" spans="1:5" s="1" customFormat="1" ht="34.5" customHeight="1">
      <c r="A1577" s="2">
        <v>1575</v>
      </c>
      <c r="B1577" s="2" t="str">
        <f>"35932021121719503468018"</f>
        <v>35932021121719503468018</v>
      </c>
      <c r="C1577" s="2" t="s">
        <v>10</v>
      </c>
      <c r="D1577" s="2" t="str">
        <f>"董小翠"</f>
        <v>董小翠</v>
      </c>
      <c r="E1577" s="2" t="str">
        <f t="shared" si="59"/>
        <v>女</v>
      </c>
    </row>
    <row r="1578" spans="1:5" s="1" customFormat="1" ht="34.5" customHeight="1">
      <c r="A1578" s="2">
        <v>1576</v>
      </c>
      <c r="B1578" s="2" t="str">
        <f>"35932021121719540168019"</f>
        <v>35932021121719540168019</v>
      </c>
      <c r="C1578" s="2" t="s">
        <v>10</v>
      </c>
      <c r="D1578" s="2" t="str">
        <f>"任维琪"</f>
        <v>任维琪</v>
      </c>
      <c r="E1578" s="2" t="str">
        <f t="shared" si="59"/>
        <v>女</v>
      </c>
    </row>
    <row r="1579" spans="1:5" s="1" customFormat="1" ht="34.5" customHeight="1">
      <c r="A1579" s="2">
        <v>1577</v>
      </c>
      <c r="B1579" s="2" t="str">
        <f>"35932021121721120468028"</f>
        <v>35932021121721120468028</v>
      </c>
      <c r="C1579" s="2" t="s">
        <v>10</v>
      </c>
      <c r="D1579" s="2" t="str">
        <f>"林月妹"</f>
        <v>林月妹</v>
      </c>
      <c r="E1579" s="2" t="str">
        <f t="shared" si="59"/>
        <v>女</v>
      </c>
    </row>
    <row r="1580" spans="1:5" s="1" customFormat="1" ht="34.5" customHeight="1">
      <c r="A1580" s="2">
        <v>1578</v>
      </c>
      <c r="B1580" s="2" t="str">
        <f>"35932021121721370968030"</f>
        <v>35932021121721370968030</v>
      </c>
      <c r="C1580" s="2" t="s">
        <v>10</v>
      </c>
      <c r="D1580" s="2" t="str">
        <f>"肖玉紫"</f>
        <v>肖玉紫</v>
      </c>
      <c r="E1580" s="2" t="str">
        <f t="shared" si="59"/>
        <v>女</v>
      </c>
    </row>
    <row r="1581" spans="1:5" s="1" customFormat="1" ht="34.5" customHeight="1">
      <c r="A1581" s="2">
        <v>1579</v>
      </c>
      <c r="B1581" s="2" t="str">
        <f>"35932021121723042468045"</f>
        <v>35932021121723042468045</v>
      </c>
      <c r="C1581" s="2" t="s">
        <v>10</v>
      </c>
      <c r="D1581" s="2" t="str">
        <f>"陈宝康"</f>
        <v>陈宝康</v>
      </c>
      <c r="E1581" s="2" t="str">
        <f>"男"</f>
        <v>男</v>
      </c>
    </row>
    <row r="1582" spans="1:5" s="1" customFormat="1" ht="34.5" customHeight="1">
      <c r="A1582" s="2">
        <v>1580</v>
      </c>
      <c r="B1582" s="2" t="str">
        <f>"35932021121723080968047"</f>
        <v>35932021121723080968047</v>
      </c>
      <c r="C1582" s="2" t="s">
        <v>10</v>
      </c>
      <c r="D1582" s="2" t="str">
        <f>"许善匀"</f>
        <v>许善匀</v>
      </c>
      <c r="E1582" s="2" t="str">
        <f>"男"</f>
        <v>男</v>
      </c>
    </row>
    <row r="1583" spans="1:5" s="1" customFormat="1" ht="34.5" customHeight="1">
      <c r="A1583" s="2">
        <v>1581</v>
      </c>
      <c r="B1583" s="2" t="str">
        <f>"35932021121803444568060"</f>
        <v>35932021121803444568060</v>
      </c>
      <c r="C1583" s="2" t="s">
        <v>10</v>
      </c>
      <c r="D1583" s="2" t="str">
        <f>"葛雯佳"</f>
        <v>葛雯佳</v>
      </c>
      <c r="E1583" s="2" t="str">
        <f>"女"</f>
        <v>女</v>
      </c>
    </row>
    <row r="1584" spans="1:5" s="1" customFormat="1" ht="34.5" customHeight="1">
      <c r="A1584" s="2">
        <v>1582</v>
      </c>
      <c r="B1584" s="2" t="str">
        <f>"35932021121808083768063"</f>
        <v>35932021121808083768063</v>
      </c>
      <c r="C1584" s="2" t="s">
        <v>10</v>
      </c>
      <c r="D1584" s="2" t="str">
        <f>"陈章雯"</f>
        <v>陈章雯</v>
      </c>
      <c r="E1584" s="2" t="str">
        <f>"女"</f>
        <v>女</v>
      </c>
    </row>
    <row r="1585" spans="1:5" s="1" customFormat="1" ht="34.5" customHeight="1">
      <c r="A1585" s="2">
        <v>1583</v>
      </c>
      <c r="B1585" s="2" t="str">
        <f>"35932021121809162568074"</f>
        <v>35932021121809162568074</v>
      </c>
      <c r="C1585" s="2" t="s">
        <v>10</v>
      </c>
      <c r="D1585" s="2" t="str">
        <f>"王永秋"</f>
        <v>王永秋</v>
      </c>
      <c r="E1585" s="2" t="str">
        <f>"女"</f>
        <v>女</v>
      </c>
    </row>
    <row r="1586" spans="1:5" s="1" customFormat="1" ht="34.5" customHeight="1">
      <c r="A1586" s="2">
        <v>1584</v>
      </c>
      <c r="B1586" s="2" t="str">
        <f>"35932021121809181668078"</f>
        <v>35932021121809181668078</v>
      </c>
      <c r="C1586" s="2" t="s">
        <v>10</v>
      </c>
      <c r="D1586" s="2" t="str">
        <f>"曾达"</f>
        <v>曾达</v>
      </c>
      <c r="E1586" s="2" t="str">
        <f>"男"</f>
        <v>男</v>
      </c>
    </row>
    <row r="1587" spans="1:5" s="1" customFormat="1" ht="34.5" customHeight="1">
      <c r="A1587" s="2">
        <v>1585</v>
      </c>
      <c r="B1587" s="2" t="str">
        <f>"35932021121810011568093"</f>
        <v>35932021121810011568093</v>
      </c>
      <c r="C1587" s="2" t="s">
        <v>10</v>
      </c>
      <c r="D1587" s="2" t="str">
        <f>"张雄飞"</f>
        <v>张雄飞</v>
      </c>
      <c r="E1587" s="2" t="str">
        <f>"男"</f>
        <v>男</v>
      </c>
    </row>
    <row r="1588" spans="1:5" s="1" customFormat="1" ht="34.5" customHeight="1">
      <c r="A1588" s="2">
        <v>1586</v>
      </c>
      <c r="B1588" s="2" t="str">
        <f>"35932021121810181968101"</f>
        <v>35932021121810181968101</v>
      </c>
      <c r="C1588" s="2" t="s">
        <v>10</v>
      </c>
      <c r="D1588" s="2" t="str">
        <f>"黄国轩"</f>
        <v>黄国轩</v>
      </c>
      <c r="E1588" s="2" t="str">
        <f>"男"</f>
        <v>男</v>
      </c>
    </row>
    <row r="1589" spans="1:5" s="1" customFormat="1" ht="34.5" customHeight="1">
      <c r="A1589" s="2">
        <v>1587</v>
      </c>
      <c r="B1589" s="2" t="str">
        <f>"35932021121810520068114"</f>
        <v>35932021121810520068114</v>
      </c>
      <c r="C1589" s="2" t="s">
        <v>10</v>
      </c>
      <c r="D1589" s="2" t="str">
        <f>"张尚月"</f>
        <v>张尚月</v>
      </c>
      <c r="E1589" s="2" t="str">
        <f>"女"</f>
        <v>女</v>
      </c>
    </row>
    <row r="1590" spans="1:5" s="1" customFormat="1" ht="34.5" customHeight="1">
      <c r="A1590" s="2">
        <v>1588</v>
      </c>
      <c r="B1590" s="2" t="str">
        <f>"35932021121811340068130"</f>
        <v>35932021121811340068130</v>
      </c>
      <c r="C1590" s="2" t="s">
        <v>10</v>
      </c>
      <c r="D1590" s="2" t="str">
        <f>"陈明岑"</f>
        <v>陈明岑</v>
      </c>
      <c r="E1590" s="2" t="str">
        <f>"女"</f>
        <v>女</v>
      </c>
    </row>
    <row r="1591" spans="1:5" s="1" customFormat="1" ht="34.5" customHeight="1">
      <c r="A1591" s="2">
        <v>1589</v>
      </c>
      <c r="B1591" s="2" t="str">
        <f>"35932021121811443368133"</f>
        <v>35932021121811443368133</v>
      </c>
      <c r="C1591" s="2" t="s">
        <v>10</v>
      </c>
      <c r="D1591" s="2" t="str">
        <f>"邢俊宇"</f>
        <v>邢俊宇</v>
      </c>
      <c r="E1591" s="2" t="str">
        <f>"男"</f>
        <v>男</v>
      </c>
    </row>
    <row r="1592" spans="1:5" s="1" customFormat="1" ht="34.5" customHeight="1">
      <c r="A1592" s="2">
        <v>1590</v>
      </c>
      <c r="B1592" s="2" t="str">
        <f>"35932021121811453568135"</f>
        <v>35932021121811453568135</v>
      </c>
      <c r="C1592" s="2" t="s">
        <v>10</v>
      </c>
      <c r="D1592" s="2" t="str">
        <f>"陈丽"</f>
        <v>陈丽</v>
      </c>
      <c r="E1592" s="2" t="str">
        <f aca="true" t="shared" si="60" ref="E1592:E1600">"女"</f>
        <v>女</v>
      </c>
    </row>
    <row r="1593" spans="1:5" s="1" customFormat="1" ht="34.5" customHeight="1">
      <c r="A1593" s="2">
        <v>1591</v>
      </c>
      <c r="B1593" s="2" t="str">
        <f>"35932021121811530268137"</f>
        <v>35932021121811530268137</v>
      </c>
      <c r="C1593" s="2" t="s">
        <v>10</v>
      </c>
      <c r="D1593" s="2" t="str">
        <f>"李亚明"</f>
        <v>李亚明</v>
      </c>
      <c r="E1593" s="2" t="str">
        <f t="shared" si="60"/>
        <v>女</v>
      </c>
    </row>
    <row r="1594" spans="1:5" s="1" customFormat="1" ht="34.5" customHeight="1">
      <c r="A1594" s="2">
        <v>1592</v>
      </c>
      <c r="B1594" s="2" t="str">
        <f>"35932021121811552768138"</f>
        <v>35932021121811552768138</v>
      </c>
      <c r="C1594" s="2" t="s">
        <v>10</v>
      </c>
      <c r="D1594" s="2" t="str">
        <f>"陈颖"</f>
        <v>陈颖</v>
      </c>
      <c r="E1594" s="2" t="str">
        <f t="shared" si="60"/>
        <v>女</v>
      </c>
    </row>
    <row r="1595" spans="1:5" s="1" customFormat="1" ht="34.5" customHeight="1">
      <c r="A1595" s="2">
        <v>1593</v>
      </c>
      <c r="B1595" s="2" t="str">
        <f>"35932021121812443068152"</f>
        <v>35932021121812443068152</v>
      </c>
      <c r="C1595" s="2" t="s">
        <v>10</v>
      </c>
      <c r="D1595" s="2" t="str">
        <f>"陈俞宏"</f>
        <v>陈俞宏</v>
      </c>
      <c r="E1595" s="2" t="str">
        <f t="shared" si="60"/>
        <v>女</v>
      </c>
    </row>
    <row r="1596" spans="1:5" s="1" customFormat="1" ht="34.5" customHeight="1">
      <c r="A1596" s="2">
        <v>1594</v>
      </c>
      <c r="B1596" s="2" t="str">
        <f>"35932021121812584468156"</f>
        <v>35932021121812584468156</v>
      </c>
      <c r="C1596" s="2" t="s">
        <v>10</v>
      </c>
      <c r="D1596" s="2" t="str">
        <f>"王顺妮"</f>
        <v>王顺妮</v>
      </c>
      <c r="E1596" s="2" t="str">
        <f t="shared" si="60"/>
        <v>女</v>
      </c>
    </row>
    <row r="1597" spans="1:5" s="1" customFormat="1" ht="34.5" customHeight="1">
      <c r="A1597" s="2">
        <v>1595</v>
      </c>
      <c r="B1597" s="2" t="str">
        <f>"35932021121813470568166"</f>
        <v>35932021121813470568166</v>
      </c>
      <c r="C1597" s="2" t="s">
        <v>10</v>
      </c>
      <c r="D1597" s="2" t="str">
        <f>"彭海霞"</f>
        <v>彭海霞</v>
      </c>
      <c r="E1597" s="2" t="str">
        <f t="shared" si="60"/>
        <v>女</v>
      </c>
    </row>
    <row r="1598" spans="1:5" s="1" customFormat="1" ht="34.5" customHeight="1">
      <c r="A1598" s="2">
        <v>1596</v>
      </c>
      <c r="B1598" s="2" t="str">
        <f>"35932021121813512868167"</f>
        <v>35932021121813512868167</v>
      </c>
      <c r="C1598" s="2" t="s">
        <v>10</v>
      </c>
      <c r="D1598" s="2" t="str">
        <f>"谢佳琪"</f>
        <v>谢佳琪</v>
      </c>
      <c r="E1598" s="2" t="str">
        <f t="shared" si="60"/>
        <v>女</v>
      </c>
    </row>
    <row r="1599" spans="1:5" s="1" customFormat="1" ht="34.5" customHeight="1">
      <c r="A1599" s="2">
        <v>1597</v>
      </c>
      <c r="B1599" s="2" t="str">
        <f>"35932021121814495268181"</f>
        <v>35932021121814495268181</v>
      </c>
      <c r="C1599" s="2" t="s">
        <v>10</v>
      </c>
      <c r="D1599" s="2" t="str">
        <f>"卓诗婧"</f>
        <v>卓诗婧</v>
      </c>
      <c r="E1599" s="2" t="str">
        <f t="shared" si="60"/>
        <v>女</v>
      </c>
    </row>
    <row r="1600" spans="1:5" s="1" customFormat="1" ht="34.5" customHeight="1">
      <c r="A1600" s="2">
        <v>1598</v>
      </c>
      <c r="B1600" s="2" t="str">
        <f>"35932021121816312268200"</f>
        <v>35932021121816312268200</v>
      </c>
      <c r="C1600" s="2" t="s">
        <v>10</v>
      </c>
      <c r="D1600" s="2" t="str">
        <f>"陈程"</f>
        <v>陈程</v>
      </c>
      <c r="E1600" s="2" t="str">
        <f t="shared" si="60"/>
        <v>女</v>
      </c>
    </row>
    <row r="1601" spans="1:5" s="1" customFormat="1" ht="34.5" customHeight="1">
      <c r="A1601" s="2">
        <v>1599</v>
      </c>
      <c r="B1601" s="2" t="str">
        <f>"35932021121816520668206"</f>
        <v>35932021121816520668206</v>
      </c>
      <c r="C1601" s="2" t="s">
        <v>10</v>
      </c>
      <c r="D1601" s="2" t="str">
        <f>"杜齐重"</f>
        <v>杜齐重</v>
      </c>
      <c r="E1601" s="2" t="str">
        <f>"男"</f>
        <v>男</v>
      </c>
    </row>
    <row r="1602" spans="1:5" s="1" customFormat="1" ht="34.5" customHeight="1">
      <c r="A1602" s="2">
        <v>1600</v>
      </c>
      <c r="B1602" s="2" t="str">
        <f>"35932021121816573568214"</f>
        <v>35932021121816573568214</v>
      </c>
      <c r="C1602" s="2" t="s">
        <v>10</v>
      </c>
      <c r="D1602" s="2" t="str">
        <f>"李欣洋"</f>
        <v>李欣洋</v>
      </c>
      <c r="E1602" s="2" t="str">
        <f>"女"</f>
        <v>女</v>
      </c>
    </row>
    <row r="1603" spans="1:5" s="1" customFormat="1" ht="34.5" customHeight="1">
      <c r="A1603" s="2">
        <v>1601</v>
      </c>
      <c r="B1603" s="2" t="str">
        <f>"35932021121817302468230"</f>
        <v>35932021121817302468230</v>
      </c>
      <c r="C1603" s="2" t="s">
        <v>10</v>
      </c>
      <c r="D1603" s="2" t="str">
        <f>"李晓秋"</f>
        <v>李晓秋</v>
      </c>
      <c r="E1603" s="2" t="str">
        <f>"女"</f>
        <v>女</v>
      </c>
    </row>
    <row r="1604" spans="1:5" s="1" customFormat="1" ht="34.5" customHeight="1">
      <c r="A1604" s="2">
        <v>1602</v>
      </c>
      <c r="B1604" s="2" t="str">
        <f>"35932021121820215968277"</f>
        <v>35932021121820215968277</v>
      </c>
      <c r="C1604" s="2" t="s">
        <v>10</v>
      </c>
      <c r="D1604" s="2" t="str">
        <f>"熊雅婷"</f>
        <v>熊雅婷</v>
      </c>
      <c r="E1604" s="2" t="str">
        <f>"女"</f>
        <v>女</v>
      </c>
    </row>
    <row r="1605" spans="1:5" s="1" customFormat="1" ht="34.5" customHeight="1">
      <c r="A1605" s="2">
        <v>1603</v>
      </c>
      <c r="B1605" s="2" t="str">
        <f>"35932021121820495668286"</f>
        <v>35932021121820495668286</v>
      </c>
      <c r="C1605" s="2" t="s">
        <v>10</v>
      </c>
      <c r="D1605" s="2" t="str">
        <f>"符圣风"</f>
        <v>符圣风</v>
      </c>
      <c r="E1605" s="2" t="str">
        <f>"男"</f>
        <v>男</v>
      </c>
    </row>
    <row r="1606" spans="1:5" s="1" customFormat="1" ht="34.5" customHeight="1">
      <c r="A1606" s="2">
        <v>1604</v>
      </c>
      <c r="B1606" s="2" t="str">
        <f>"35932021121821244868297"</f>
        <v>35932021121821244868297</v>
      </c>
      <c r="C1606" s="2" t="s">
        <v>10</v>
      </c>
      <c r="D1606" s="2" t="str">
        <f>"蔡能"</f>
        <v>蔡能</v>
      </c>
      <c r="E1606" s="2" t="str">
        <f>"男"</f>
        <v>男</v>
      </c>
    </row>
    <row r="1607" spans="1:5" s="1" customFormat="1" ht="34.5" customHeight="1">
      <c r="A1607" s="2">
        <v>1605</v>
      </c>
      <c r="B1607" s="2" t="str">
        <f>"35932021121821353568300"</f>
        <v>35932021121821353568300</v>
      </c>
      <c r="C1607" s="2" t="s">
        <v>10</v>
      </c>
      <c r="D1607" s="2" t="str">
        <f>"沈媚"</f>
        <v>沈媚</v>
      </c>
      <c r="E1607" s="2" t="str">
        <f>"女"</f>
        <v>女</v>
      </c>
    </row>
    <row r="1608" spans="1:5" s="1" customFormat="1" ht="34.5" customHeight="1">
      <c r="A1608" s="2">
        <v>1606</v>
      </c>
      <c r="B1608" s="2" t="str">
        <f>"35932021121821565468303"</f>
        <v>35932021121821565468303</v>
      </c>
      <c r="C1608" s="2" t="s">
        <v>10</v>
      </c>
      <c r="D1608" s="2" t="str">
        <f>"王国庆"</f>
        <v>王国庆</v>
      </c>
      <c r="E1608" s="2" t="str">
        <f>"男"</f>
        <v>男</v>
      </c>
    </row>
    <row r="1609" spans="1:5" s="1" customFormat="1" ht="34.5" customHeight="1">
      <c r="A1609" s="2">
        <v>1607</v>
      </c>
      <c r="B1609" s="2" t="str">
        <f>"35932021121822162568305"</f>
        <v>35932021121822162568305</v>
      </c>
      <c r="C1609" s="2" t="s">
        <v>10</v>
      </c>
      <c r="D1609" s="2" t="str">
        <f>"龙莹灿"</f>
        <v>龙莹灿</v>
      </c>
      <c r="E1609" s="2" t="str">
        <f>"女"</f>
        <v>女</v>
      </c>
    </row>
    <row r="1610" spans="1:5" s="1" customFormat="1" ht="34.5" customHeight="1">
      <c r="A1610" s="2">
        <v>1608</v>
      </c>
      <c r="B1610" s="2" t="str">
        <f>"35932021121823024968324"</f>
        <v>35932021121823024968324</v>
      </c>
      <c r="C1610" s="2" t="s">
        <v>10</v>
      </c>
      <c r="D1610" s="2" t="str">
        <f>"陈保乾"</f>
        <v>陈保乾</v>
      </c>
      <c r="E1610" s="2" t="str">
        <f>"女"</f>
        <v>女</v>
      </c>
    </row>
    <row r="1611" spans="1:5" s="1" customFormat="1" ht="34.5" customHeight="1">
      <c r="A1611" s="2">
        <v>1609</v>
      </c>
      <c r="B1611" s="2" t="str">
        <f>"35932021121823081668325"</f>
        <v>35932021121823081668325</v>
      </c>
      <c r="C1611" s="2" t="s">
        <v>10</v>
      </c>
      <c r="D1611" s="2" t="str">
        <f>"谢德荣"</f>
        <v>谢德荣</v>
      </c>
      <c r="E1611" s="2" t="str">
        <f>"男"</f>
        <v>男</v>
      </c>
    </row>
    <row r="1612" spans="1:5" s="1" customFormat="1" ht="34.5" customHeight="1">
      <c r="A1612" s="2">
        <v>1610</v>
      </c>
      <c r="B1612" s="2" t="str">
        <f>"35932021121823404968331"</f>
        <v>35932021121823404968331</v>
      </c>
      <c r="C1612" s="2" t="s">
        <v>10</v>
      </c>
      <c r="D1612" s="2" t="str">
        <f>"王育高"</f>
        <v>王育高</v>
      </c>
      <c r="E1612" s="2" t="str">
        <f>"男"</f>
        <v>男</v>
      </c>
    </row>
    <row r="1613" spans="1:5" s="1" customFormat="1" ht="34.5" customHeight="1">
      <c r="A1613" s="2">
        <v>1611</v>
      </c>
      <c r="B1613" s="2" t="str">
        <f>"35932021121908535168355"</f>
        <v>35932021121908535168355</v>
      </c>
      <c r="C1613" s="2" t="s">
        <v>10</v>
      </c>
      <c r="D1613" s="2" t="str">
        <f>"陈妍婷"</f>
        <v>陈妍婷</v>
      </c>
      <c r="E1613" s="2" t="str">
        <f>"女"</f>
        <v>女</v>
      </c>
    </row>
    <row r="1614" spans="1:5" s="1" customFormat="1" ht="34.5" customHeight="1">
      <c r="A1614" s="2">
        <v>1612</v>
      </c>
      <c r="B1614" s="2" t="str">
        <f>"35932021121910301868395"</f>
        <v>35932021121910301868395</v>
      </c>
      <c r="C1614" s="2" t="s">
        <v>10</v>
      </c>
      <c r="D1614" s="2" t="str">
        <f>"吴高禄"</f>
        <v>吴高禄</v>
      </c>
      <c r="E1614" s="2" t="str">
        <f>"男"</f>
        <v>男</v>
      </c>
    </row>
    <row r="1615" spans="1:5" s="1" customFormat="1" ht="34.5" customHeight="1">
      <c r="A1615" s="2">
        <v>1613</v>
      </c>
      <c r="B1615" s="2" t="str">
        <f>"35932021121910333768397"</f>
        <v>35932021121910333768397</v>
      </c>
      <c r="C1615" s="2" t="s">
        <v>10</v>
      </c>
      <c r="D1615" s="2" t="str">
        <f>"黄菁菁"</f>
        <v>黄菁菁</v>
      </c>
      <c r="E1615" s="2" t="str">
        <f>"女"</f>
        <v>女</v>
      </c>
    </row>
    <row r="1616" spans="1:5" s="1" customFormat="1" ht="34.5" customHeight="1">
      <c r="A1616" s="2">
        <v>1614</v>
      </c>
      <c r="B1616" s="2" t="str">
        <f>"35932021121911142168420"</f>
        <v>35932021121911142168420</v>
      </c>
      <c r="C1616" s="2" t="s">
        <v>10</v>
      </c>
      <c r="D1616" s="2" t="str">
        <f>"王春花"</f>
        <v>王春花</v>
      </c>
      <c r="E1616" s="2" t="str">
        <f>"女"</f>
        <v>女</v>
      </c>
    </row>
    <row r="1617" spans="1:5" s="1" customFormat="1" ht="34.5" customHeight="1">
      <c r="A1617" s="2">
        <v>1615</v>
      </c>
      <c r="B1617" s="2" t="str">
        <f>"35932021121911443468434"</f>
        <v>35932021121911443468434</v>
      </c>
      <c r="C1617" s="2" t="s">
        <v>10</v>
      </c>
      <c r="D1617" s="2" t="str">
        <f>"王晶莹"</f>
        <v>王晶莹</v>
      </c>
      <c r="E1617" s="2" t="str">
        <f>"女"</f>
        <v>女</v>
      </c>
    </row>
    <row r="1618" spans="1:5" s="1" customFormat="1" ht="34.5" customHeight="1">
      <c r="A1618" s="2">
        <v>1616</v>
      </c>
      <c r="B1618" s="2" t="str">
        <f>"35932021121911492868435"</f>
        <v>35932021121911492868435</v>
      </c>
      <c r="C1618" s="2" t="s">
        <v>10</v>
      </c>
      <c r="D1618" s="2" t="str">
        <f>"王茜"</f>
        <v>王茜</v>
      </c>
      <c r="E1618" s="2" t="str">
        <f>"女"</f>
        <v>女</v>
      </c>
    </row>
    <row r="1619" spans="1:5" s="1" customFormat="1" ht="34.5" customHeight="1">
      <c r="A1619" s="2">
        <v>1617</v>
      </c>
      <c r="B1619" s="2" t="str">
        <f>"35932021121911495968436"</f>
        <v>35932021121911495968436</v>
      </c>
      <c r="C1619" s="2" t="s">
        <v>10</v>
      </c>
      <c r="D1619" s="2" t="str">
        <f>"韩杏蜜"</f>
        <v>韩杏蜜</v>
      </c>
      <c r="E1619" s="2" t="str">
        <f>"女"</f>
        <v>女</v>
      </c>
    </row>
    <row r="1620" spans="1:5" s="1" customFormat="1" ht="34.5" customHeight="1">
      <c r="A1620" s="2">
        <v>1618</v>
      </c>
      <c r="B1620" s="2" t="str">
        <f>"35932021121911541468438"</f>
        <v>35932021121911541468438</v>
      </c>
      <c r="C1620" s="2" t="s">
        <v>10</v>
      </c>
      <c r="D1620" s="2" t="str">
        <f>"庞力铖"</f>
        <v>庞力铖</v>
      </c>
      <c r="E1620" s="2" t="str">
        <f>"男"</f>
        <v>男</v>
      </c>
    </row>
    <row r="1621" spans="1:5" s="1" customFormat="1" ht="34.5" customHeight="1">
      <c r="A1621" s="2">
        <v>1619</v>
      </c>
      <c r="B1621" s="2" t="str">
        <f>"35932021121912522468464"</f>
        <v>35932021121912522468464</v>
      </c>
      <c r="C1621" s="2" t="s">
        <v>10</v>
      </c>
      <c r="D1621" s="2" t="str">
        <f>"莫光萍"</f>
        <v>莫光萍</v>
      </c>
      <c r="E1621" s="2" t="str">
        <f>"女"</f>
        <v>女</v>
      </c>
    </row>
    <row r="1622" spans="1:5" s="1" customFormat="1" ht="34.5" customHeight="1">
      <c r="A1622" s="2">
        <v>1620</v>
      </c>
      <c r="B1622" s="2" t="str">
        <f>"35932021121913473768495"</f>
        <v>35932021121913473768495</v>
      </c>
      <c r="C1622" s="2" t="s">
        <v>10</v>
      </c>
      <c r="D1622" s="2" t="str">
        <f>"王佳洁"</f>
        <v>王佳洁</v>
      </c>
      <c r="E1622" s="2" t="str">
        <f>"女"</f>
        <v>女</v>
      </c>
    </row>
    <row r="1623" spans="1:5" s="1" customFormat="1" ht="34.5" customHeight="1">
      <c r="A1623" s="2">
        <v>1621</v>
      </c>
      <c r="B1623" s="2" t="str">
        <f>"35932021121914050768508"</f>
        <v>35932021121914050768508</v>
      </c>
      <c r="C1623" s="2" t="s">
        <v>10</v>
      </c>
      <c r="D1623" s="2" t="str">
        <f>"陈美玲"</f>
        <v>陈美玲</v>
      </c>
      <c r="E1623" s="2" t="str">
        <f>"女"</f>
        <v>女</v>
      </c>
    </row>
    <row r="1624" spans="1:5" s="1" customFormat="1" ht="34.5" customHeight="1">
      <c r="A1624" s="2">
        <v>1622</v>
      </c>
      <c r="B1624" s="2" t="str">
        <f>"35932021121914144468512"</f>
        <v>35932021121914144468512</v>
      </c>
      <c r="C1624" s="2" t="s">
        <v>10</v>
      </c>
      <c r="D1624" s="2" t="str">
        <f>"符珮文"</f>
        <v>符珮文</v>
      </c>
      <c r="E1624" s="2" t="str">
        <f>"女"</f>
        <v>女</v>
      </c>
    </row>
    <row r="1625" spans="1:5" s="1" customFormat="1" ht="34.5" customHeight="1">
      <c r="A1625" s="2">
        <v>1623</v>
      </c>
      <c r="B1625" s="2" t="str">
        <f>"35932021121914355368520"</f>
        <v>35932021121914355368520</v>
      </c>
      <c r="C1625" s="2" t="s">
        <v>10</v>
      </c>
      <c r="D1625" s="2" t="str">
        <f>"吴佳艳"</f>
        <v>吴佳艳</v>
      </c>
      <c r="E1625" s="2" t="str">
        <f>"女"</f>
        <v>女</v>
      </c>
    </row>
    <row r="1626" spans="1:5" s="1" customFormat="1" ht="34.5" customHeight="1">
      <c r="A1626" s="2">
        <v>1624</v>
      </c>
      <c r="B1626" s="2" t="str">
        <f>"35932021121915240968550"</f>
        <v>35932021121915240968550</v>
      </c>
      <c r="C1626" s="2" t="s">
        <v>10</v>
      </c>
      <c r="D1626" s="2" t="str">
        <f>"刘致君"</f>
        <v>刘致君</v>
      </c>
      <c r="E1626" s="2" t="str">
        <f>"男"</f>
        <v>男</v>
      </c>
    </row>
    <row r="1627" spans="1:5" s="1" customFormat="1" ht="34.5" customHeight="1">
      <c r="A1627" s="2">
        <v>1625</v>
      </c>
      <c r="B1627" s="2" t="str">
        <f>"35932021121915370768557"</f>
        <v>35932021121915370768557</v>
      </c>
      <c r="C1627" s="2" t="s">
        <v>10</v>
      </c>
      <c r="D1627" s="2" t="str">
        <f>"王娇妹"</f>
        <v>王娇妹</v>
      </c>
      <c r="E1627" s="2" t="str">
        <f>"女"</f>
        <v>女</v>
      </c>
    </row>
    <row r="1628" spans="1:5" s="1" customFormat="1" ht="34.5" customHeight="1">
      <c r="A1628" s="2">
        <v>1626</v>
      </c>
      <c r="B1628" s="2" t="str">
        <f>"35932021121915485668566"</f>
        <v>35932021121915485668566</v>
      </c>
      <c r="C1628" s="2" t="s">
        <v>10</v>
      </c>
      <c r="D1628" s="2" t="str">
        <f>"黎俊华"</f>
        <v>黎俊华</v>
      </c>
      <c r="E1628" s="2" t="str">
        <f>"男"</f>
        <v>男</v>
      </c>
    </row>
    <row r="1629" spans="1:5" s="1" customFormat="1" ht="34.5" customHeight="1">
      <c r="A1629" s="2">
        <v>1627</v>
      </c>
      <c r="B1629" s="2" t="str">
        <f>"35932021121916254568580"</f>
        <v>35932021121916254568580</v>
      </c>
      <c r="C1629" s="2" t="s">
        <v>10</v>
      </c>
      <c r="D1629" s="2" t="str">
        <f>"王杰玲"</f>
        <v>王杰玲</v>
      </c>
      <c r="E1629" s="2" t="str">
        <f aca="true" t="shared" si="61" ref="E1629:E1634">"女"</f>
        <v>女</v>
      </c>
    </row>
    <row r="1630" spans="1:5" s="1" customFormat="1" ht="34.5" customHeight="1">
      <c r="A1630" s="2">
        <v>1628</v>
      </c>
      <c r="B1630" s="2" t="str">
        <f>"35932021121916343368586"</f>
        <v>35932021121916343368586</v>
      </c>
      <c r="C1630" s="2" t="s">
        <v>10</v>
      </c>
      <c r="D1630" s="2" t="str">
        <f>"刘欣如"</f>
        <v>刘欣如</v>
      </c>
      <c r="E1630" s="2" t="str">
        <f t="shared" si="61"/>
        <v>女</v>
      </c>
    </row>
    <row r="1631" spans="1:5" s="1" customFormat="1" ht="34.5" customHeight="1">
      <c r="A1631" s="2">
        <v>1629</v>
      </c>
      <c r="B1631" s="2" t="str">
        <f>"35932021121916442668596"</f>
        <v>35932021121916442668596</v>
      </c>
      <c r="C1631" s="2" t="s">
        <v>10</v>
      </c>
      <c r="D1631" s="2" t="str">
        <f>"陈章慧"</f>
        <v>陈章慧</v>
      </c>
      <c r="E1631" s="2" t="str">
        <f t="shared" si="61"/>
        <v>女</v>
      </c>
    </row>
    <row r="1632" spans="1:5" s="1" customFormat="1" ht="34.5" customHeight="1">
      <c r="A1632" s="2">
        <v>1630</v>
      </c>
      <c r="B1632" s="2" t="str">
        <f>"35932021121916444168597"</f>
        <v>35932021121916444168597</v>
      </c>
      <c r="C1632" s="2" t="s">
        <v>10</v>
      </c>
      <c r="D1632" s="2" t="str">
        <f>"吴建爱"</f>
        <v>吴建爱</v>
      </c>
      <c r="E1632" s="2" t="str">
        <f t="shared" si="61"/>
        <v>女</v>
      </c>
    </row>
    <row r="1633" spans="1:5" s="1" customFormat="1" ht="34.5" customHeight="1">
      <c r="A1633" s="2">
        <v>1631</v>
      </c>
      <c r="B1633" s="2" t="str">
        <f>"35932021121916464868599"</f>
        <v>35932021121916464868599</v>
      </c>
      <c r="C1633" s="2" t="s">
        <v>10</v>
      </c>
      <c r="D1633" s="2" t="str">
        <f>"符令英"</f>
        <v>符令英</v>
      </c>
      <c r="E1633" s="2" t="str">
        <f t="shared" si="61"/>
        <v>女</v>
      </c>
    </row>
    <row r="1634" spans="1:5" s="1" customFormat="1" ht="34.5" customHeight="1">
      <c r="A1634" s="2">
        <v>1632</v>
      </c>
      <c r="B1634" s="2" t="str">
        <f>"35932021121916502368604"</f>
        <v>35932021121916502368604</v>
      </c>
      <c r="C1634" s="2" t="s">
        <v>10</v>
      </c>
      <c r="D1634" s="2" t="str">
        <f>"姜冬冬"</f>
        <v>姜冬冬</v>
      </c>
      <c r="E1634" s="2" t="str">
        <f t="shared" si="61"/>
        <v>女</v>
      </c>
    </row>
    <row r="1635" spans="1:5" s="1" customFormat="1" ht="34.5" customHeight="1">
      <c r="A1635" s="2">
        <v>1633</v>
      </c>
      <c r="B1635" s="2" t="str">
        <f>"35932021121918053968648"</f>
        <v>35932021121918053968648</v>
      </c>
      <c r="C1635" s="2" t="s">
        <v>10</v>
      </c>
      <c r="D1635" s="2" t="str">
        <f>"赵舟舟"</f>
        <v>赵舟舟</v>
      </c>
      <c r="E1635" s="2" t="str">
        <f>"男"</f>
        <v>男</v>
      </c>
    </row>
    <row r="1636" spans="1:5" s="1" customFormat="1" ht="34.5" customHeight="1">
      <c r="A1636" s="2">
        <v>1634</v>
      </c>
      <c r="B1636" s="2" t="str">
        <f>"35932021121918062168650"</f>
        <v>35932021121918062168650</v>
      </c>
      <c r="C1636" s="2" t="s">
        <v>10</v>
      </c>
      <c r="D1636" s="2" t="str">
        <f>"李欣怡"</f>
        <v>李欣怡</v>
      </c>
      <c r="E1636" s="2" t="str">
        <f aca="true" t="shared" si="62" ref="E1636:E1641">"女"</f>
        <v>女</v>
      </c>
    </row>
    <row r="1637" spans="1:5" s="1" customFormat="1" ht="34.5" customHeight="1">
      <c r="A1637" s="2">
        <v>1635</v>
      </c>
      <c r="B1637" s="2" t="str">
        <f>"35932021121918461568672"</f>
        <v>35932021121918461568672</v>
      </c>
      <c r="C1637" s="2" t="s">
        <v>10</v>
      </c>
      <c r="D1637" s="2" t="str">
        <f>"陈丽娟"</f>
        <v>陈丽娟</v>
      </c>
      <c r="E1637" s="2" t="str">
        <f t="shared" si="62"/>
        <v>女</v>
      </c>
    </row>
    <row r="1638" spans="1:5" s="1" customFormat="1" ht="34.5" customHeight="1">
      <c r="A1638" s="2">
        <v>1636</v>
      </c>
      <c r="B1638" s="2" t="str">
        <f>"35932021121918520568676"</f>
        <v>35932021121918520568676</v>
      </c>
      <c r="C1638" s="2" t="s">
        <v>10</v>
      </c>
      <c r="D1638" s="2" t="str">
        <f>"陈桂菲"</f>
        <v>陈桂菲</v>
      </c>
      <c r="E1638" s="2" t="str">
        <f t="shared" si="62"/>
        <v>女</v>
      </c>
    </row>
    <row r="1639" spans="1:5" s="1" customFormat="1" ht="34.5" customHeight="1">
      <c r="A1639" s="2">
        <v>1637</v>
      </c>
      <c r="B1639" s="2" t="str">
        <f>"35932021121919551268719"</f>
        <v>35932021121919551268719</v>
      </c>
      <c r="C1639" s="2" t="s">
        <v>10</v>
      </c>
      <c r="D1639" s="2" t="str">
        <f>"王春晓"</f>
        <v>王春晓</v>
      </c>
      <c r="E1639" s="2" t="str">
        <f t="shared" si="62"/>
        <v>女</v>
      </c>
    </row>
    <row r="1640" spans="1:5" s="1" customFormat="1" ht="34.5" customHeight="1">
      <c r="A1640" s="2">
        <v>1638</v>
      </c>
      <c r="B1640" s="2" t="str">
        <f>"35932021121920090668725"</f>
        <v>35932021121920090668725</v>
      </c>
      <c r="C1640" s="2" t="s">
        <v>10</v>
      </c>
      <c r="D1640" s="2" t="str">
        <f>"李美霖"</f>
        <v>李美霖</v>
      </c>
      <c r="E1640" s="2" t="str">
        <f t="shared" si="62"/>
        <v>女</v>
      </c>
    </row>
    <row r="1641" spans="1:5" s="1" customFormat="1" ht="34.5" customHeight="1">
      <c r="A1641" s="2">
        <v>1639</v>
      </c>
      <c r="B1641" s="2" t="str">
        <f>"35932021121920144368726"</f>
        <v>35932021121920144368726</v>
      </c>
      <c r="C1641" s="2" t="s">
        <v>10</v>
      </c>
      <c r="D1641" s="2" t="str">
        <f>"陈国钰"</f>
        <v>陈国钰</v>
      </c>
      <c r="E1641" s="2" t="str">
        <f t="shared" si="62"/>
        <v>女</v>
      </c>
    </row>
    <row r="1642" spans="1:5" s="1" customFormat="1" ht="34.5" customHeight="1">
      <c r="A1642" s="2">
        <v>1640</v>
      </c>
      <c r="B1642" s="2" t="str">
        <f>"35932021121920285568740"</f>
        <v>35932021121920285568740</v>
      </c>
      <c r="C1642" s="2" t="s">
        <v>10</v>
      </c>
      <c r="D1642" s="2" t="str">
        <f>"黄泽鸿"</f>
        <v>黄泽鸿</v>
      </c>
      <c r="E1642" s="2" t="str">
        <f>"男"</f>
        <v>男</v>
      </c>
    </row>
    <row r="1643" spans="1:5" s="1" customFormat="1" ht="34.5" customHeight="1">
      <c r="A1643" s="2">
        <v>1641</v>
      </c>
      <c r="B1643" s="2" t="str">
        <f>"35932021121920412068749"</f>
        <v>35932021121920412068749</v>
      </c>
      <c r="C1643" s="2" t="s">
        <v>10</v>
      </c>
      <c r="D1643" s="2" t="str">
        <f>"陈娆琤"</f>
        <v>陈娆琤</v>
      </c>
      <c r="E1643" s="2" t="str">
        <f>"女"</f>
        <v>女</v>
      </c>
    </row>
    <row r="1644" spans="1:5" s="1" customFormat="1" ht="34.5" customHeight="1">
      <c r="A1644" s="2">
        <v>1642</v>
      </c>
      <c r="B1644" s="2" t="str">
        <f>"35932021121920433768750"</f>
        <v>35932021121920433768750</v>
      </c>
      <c r="C1644" s="2" t="s">
        <v>10</v>
      </c>
      <c r="D1644" s="2" t="str">
        <f>"莫贤娇"</f>
        <v>莫贤娇</v>
      </c>
      <c r="E1644" s="2" t="str">
        <f>"女"</f>
        <v>女</v>
      </c>
    </row>
    <row r="1645" spans="1:5" s="1" customFormat="1" ht="34.5" customHeight="1">
      <c r="A1645" s="2">
        <v>1643</v>
      </c>
      <c r="B1645" s="2" t="str">
        <f>"35932021121921210068777"</f>
        <v>35932021121921210068777</v>
      </c>
      <c r="C1645" s="2" t="s">
        <v>10</v>
      </c>
      <c r="D1645" s="2" t="str">
        <f>"蒙冬"</f>
        <v>蒙冬</v>
      </c>
      <c r="E1645" s="2" t="str">
        <f>"女"</f>
        <v>女</v>
      </c>
    </row>
    <row r="1646" spans="1:5" s="1" customFormat="1" ht="34.5" customHeight="1">
      <c r="A1646" s="2">
        <v>1644</v>
      </c>
      <c r="B1646" s="2" t="str">
        <f>"35932021121921221268778"</f>
        <v>35932021121921221268778</v>
      </c>
      <c r="C1646" s="2" t="s">
        <v>10</v>
      </c>
      <c r="D1646" s="2" t="str">
        <f>"张晓娜"</f>
        <v>张晓娜</v>
      </c>
      <c r="E1646" s="2" t="str">
        <f>"女"</f>
        <v>女</v>
      </c>
    </row>
    <row r="1647" spans="1:5" s="1" customFormat="1" ht="34.5" customHeight="1">
      <c r="A1647" s="2">
        <v>1645</v>
      </c>
      <c r="B1647" s="2" t="str">
        <f>"35932021121921324468789"</f>
        <v>35932021121921324468789</v>
      </c>
      <c r="C1647" s="2" t="s">
        <v>10</v>
      </c>
      <c r="D1647" s="2" t="str">
        <f>"钟云山"</f>
        <v>钟云山</v>
      </c>
      <c r="E1647" s="2" t="str">
        <f>"男"</f>
        <v>男</v>
      </c>
    </row>
    <row r="1648" spans="1:5" s="1" customFormat="1" ht="34.5" customHeight="1">
      <c r="A1648" s="2">
        <v>1646</v>
      </c>
      <c r="B1648" s="2" t="str">
        <f>"35932021121921460468798"</f>
        <v>35932021121921460468798</v>
      </c>
      <c r="C1648" s="2" t="s">
        <v>10</v>
      </c>
      <c r="D1648" s="2" t="str">
        <f>"吴怀冰"</f>
        <v>吴怀冰</v>
      </c>
      <c r="E1648" s="2" t="str">
        <f aca="true" t="shared" si="63" ref="E1648:E1658">"女"</f>
        <v>女</v>
      </c>
    </row>
    <row r="1649" spans="1:5" s="1" customFormat="1" ht="34.5" customHeight="1">
      <c r="A1649" s="2">
        <v>1647</v>
      </c>
      <c r="B1649" s="2" t="str">
        <f>"35932021121921514868804"</f>
        <v>35932021121921514868804</v>
      </c>
      <c r="C1649" s="2" t="s">
        <v>10</v>
      </c>
      <c r="D1649" s="2" t="str">
        <f>"吴钟瑜"</f>
        <v>吴钟瑜</v>
      </c>
      <c r="E1649" s="2" t="str">
        <f t="shared" si="63"/>
        <v>女</v>
      </c>
    </row>
    <row r="1650" spans="1:5" s="1" customFormat="1" ht="34.5" customHeight="1">
      <c r="A1650" s="2">
        <v>1648</v>
      </c>
      <c r="B1650" s="2" t="str">
        <f>"35932021121921574568809"</f>
        <v>35932021121921574568809</v>
      </c>
      <c r="C1650" s="2" t="s">
        <v>10</v>
      </c>
      <c r="D1650" s="2" t="str">
        <f>"陈紫华"</f>
        <v>陈紫华</v>
      </c>
      <c r="E1650" s="2" t="str">
        <f t="shared" si="63"/>
        <v>女</v>
      </c>
    </row>
    <row r="1651" spans="1:5" s="1" customFormat="1" ht="34.5" customHeight="1">
      <c r="A1651" s="2">
        <v>1649</v>
      </c>
      <c r="B1651" s="2" t="str">
        <f>"35932021121922132268818"</f>
        <v>35932021121922132268818</v>
      </c>
      <c r="C1651" s="2" t="s">
        <v>10</v>
      </c>
      <c r="D1651" s="2" t="str">
        <f>"王江月"</f>
        <v>王江月</v>
      </c>
      <c r="E1651" s="2" t="str">
        <f t="shared" si="63"/>
        <v>女</v>
      </c>
    </row>
    <row r="1652" spans="1:5" s="1" customFormat="1" ht="34.5" customHeight="1">
      <c r="A1652" s="2">
        <v>1650</v>
      </c>
      <c r="B1652" s="2" t="str">
        <f>"35932021121922143968819"</f>
        <v>35932021121922143968819</v>
      </c>
      <c r="C1652" s="2" t="s">
        <v>10</v>
      </c>
      <c r="D1652" s="2" t="str">
        <f>"李思聪"</f>
        <v>李思聪</v>
      </c>
      <c r="E1652" s="2" t="str">
        <f t="shared" si="63"/>
        <v>女</v>
      </c>
    </row>
    <row r="1653" spans="1:5" s="1" customFormat="1" ht="34.5" customHeight="1">
      <c r="A1653" s="2">
        <v>1651</v>
      </c>
      <c r="B1653" s="2" t="str">
        <f>"35932021121922171468822"</f>
        <v>35932021121922171468822</v>
      </c>
      <c r="C1653" s="2" t="s">
        <v>10</v>
      </c>
      <c r="D1653" s="2" t="str">
        <f>"刘诗萌"</f>
        <v>刘诗萌</v>
      </c>
      <c r="E1653" s="2" t="str">
        <f t="shared" si="63"/>
        <v>女</v>
      </c>
    </row>
    <row r="1654" spans="1:5" s="1" customFormat="1" ht="34.5" customHeight="1">
      <c r="A1654" s="2">
        <v>1652</v>
      </c>
      <c r="B1654" s="2" t="str">
        <f>"35932021121922244868826"</f>
        <v>35932021121922244868826</v>
      </c>
      <c r="C1654" s="2" t="s">
        <v>10</v>
      </c>
      <c r="D1654" s="2" t="str">
        <f>"卢银琼"</f>
        <v>卢银琼</v>
      </c>
      <c r="E1654" s="2" t="str">
        <f t="shared" si="63"/>
        <v>女</v>
      </c>
    </row>
    <row r="1655" spans="1:5" s="1" customFormat="1" ht="34.5" customHeight="1">
      <c r="A1655" s="2">
        <v>1653</v>
      </c>
      <c r="B1655" s="2" t="str">
        <f>"35932021121922250068827"</f>
        <v>35932021121922250068827</v>
      </c>
      <c r="C1655" s="2" t="s">
        <v>10</v>
      </c>
      <c r="D1655" s="2" t="str">
        <f>"陈艳婷"</f>
        <v>陈艳婷</v>
      </c>
      <c r="E1655" s="2" t="str">
        <f t="shared" si="63"/>
        <v>女</v>
      </c>
    </row>
    <row r="1656" spans="1:5" s="1" customFormat="1" ht="34.5" customHeight="1">
      <c r="A1656" s="2">
        <v>1654</v>
      </c>
      <c r="B1656" s="2" t="str">
        <f>"35932021121922512268840"</f>
        <v>35932021121922512268840</v>
      </c>
      <c r="C1656" s="2" t="s">
        <v>10</v>
      </c>
      <c r="D1656" s="2" t="str">
        <f>"岑佳谕"</f>
        <v>岑佳谕</v>
      </c>
      <c r="E1656" s="2" t="str">
        <f t="shared" si="63"/>
        <v>女</v>
      </c>
    </row>
    <row r="1657" spans="1:5" s="1" customFormat="1" ht="34.5" customHeight="1">
      <c r="A1657" s="2">
        <v>1655</v>
      </c>
      <c r="B1657" s="2" t="str">
        <f>"35932021121923033768848"</f>
        <v>35932021121923033768848</v>
      </c>
      <c r="C1657" s="2" t="s">
        <v>10</v>
      </c>
      <c r="D1657" s="2" t="str">
        <f>"王妹如"</f>
        <v>王妹如</v>
      </c>
      <c r="E1657" s="2" t="str">
        <f t="shared" si="63"/>
        <v>女</v>
      </c>
    </row>
    <row r="1658" spans="1:5" s="1" customFormat="1" ht="34.5" customHeight="1">
      <c r="A1658" s="2">
        <v>1656</v>
      </c>
      <c r="B1658" s="2" t="str">
        <f>"35932021121923102268853"</f>
        <v>35932021121923102268853</v>
      </c>
      <c r="C1658" s="2" t="s">
        <v>10</v>
      </c>
      <c r="D1658" s="2" t="str">
        <f>"何秋淳"</f>
        <v>何秋淳</v>
      </c>
      <c r="E1658" s="2" t="str">
        <f t="shared" si="63"/>
        <v>女</v>
      </c>
    </row>
    <row r="1659" spans="1:5" s="1" customFormat="1" ht="34.5" customHeight="1">
      <c r="A1659" s="2">
        <v>1657</v>
      </c>
      <c r="B1659" s="2" t="str">
        <f>"35932021121923122868854"</f>
        <v>35932021121923122868854</v>
      </c>
      <c r="C1659" s="2" t="s">
        <v>10</v>
      </c>
      <c r="D1659" s="2" t="str">
        <f>"陈文超"</f>
        <v>陈文超</v>
      </c>
      <c r="E1659" s="2" t="str">
        <f>"男"</f>
        <v>男</v>
      </c>
    </row>
    <row r="1660" spans="1:5" s="1" customFormat="1" ht="34.5" customHeight="1">
      <c r="A1660" s="2">
        <v>1658</v>
      </c>
      <c r="B1660" s="2" t="str">
        <f>"35932021121923141968856"</f>
        <v>35932021121923141968856</v>
      </c>
      <c r="C1660" s="2" t="s">
        <v>10</v>
      </c>
      <c r="D1660" s="2" t="str">
        <f>"黄琴"</f>
        <v>黄琴</v>
      </c>
      <c r="E1660" s="2" t="str">
        <f aca="true" t="shared" si="64" ref="E1660:E1665">"女"</f>
        <v>女</v>
      </c>
    </row>
    <row r="1661" spans="1:5" s="1" customFormat="1" ht="34.5" customHeight="1">
      <c r="A1661" s="2">
        <v>1659</v>
      </c>
      <c r="B1661" s="2" t="str">
        <f>"35932021121923273168861"</f>
        <v>35932021121923273168861</v>
      </c>
      <c r="C1661" s="2" t="s">
        <v>10</v>
      </c>
      <c r="D1661" s="2" t="str">
        <f>"张殿霞"</f>
        <v>张殿霞</v>
      </c>
      <c r="E1661" s="2" t="str">
        <f t="shared" si="64"/>
        <v>女</v>
      </c>
    </row>
    <row r="1662" spans="1:5" s="1" customFormat="1" ht="34.5" customHeight="1">
      <c r="A1662" s="2">
        <v>1660</v>
      </c>
      <c r="B1662" s="2" t="str">
        <f>"35932021121923454068868"</f>
        <v>35932021121923454068868</v>
      </c>
      <c r="C1662" s="2" t="s">
        <v>10</v>
      </c>
      <c r="D1662" s="2" t="str">
        <f>"何海园"</f>
        <v>何海园</v>
      </c>
      <c r="E1662" s="2" t="str">
        <f t="shared" si="64"/>
        <v>女</v>
      </c>
    </row>
    <row r="1663" spans="1:5" s="1" customFormat="1" ht="34.5" customHeight="1">
      <c r="A1663" s="2">
        <v>1661</v>
      </c>
      <c r="B1663" s="2" t="str">
        <f>"35932021121923491068871"</f>
        <v>35932021121923491068871</v>
      </c>
      <c r="C1663" s="2" t="s">
        <v>10</v>
      </c>
      <c r="D1663" s="2" t="str">
        <f>"谢玲玲"</f>
        <v>谢玲玲</v>
      </c>
      <c r="E1663" s="2" t="str">
        <f t="shared" si="64"/>
        <v>女</v>
      </c>
    </row>
    <row r="1664" spans="1:5" s="1" customFormat="1" ht="34.5" customHeight="1">
      <c r="A1664" s="2">
        <v>1662</v>
      </c>
      <c r="B1664" s="2" t="str">
        <f>"35932021121923544068872"</f>
        <v>35932021121923544068872</v>
      </c>
      <c r="C1664" s="2" t="s">
        <v>10</v>
      </c>
      <c r="D1664" s="2" t="str">
        <f>"吴莹敏"</f>
        <v>吴莹敏</v>
      </c>
      <c r="E1664" s="2" t="str">
        <f t="shared" si="64"/>
        <v>女</v>
      </c>
    </row>
    <row r="1665" spans="1:5" s="1" customFormat="1" ht="34.5" customHeight="1">
      <c r="A1665" s="2">
        <v>1663</v>
      </c>
      <c r="B1665" s="2" t="str">
        <f>"35932021122000054668874"</f>
        <v>35932021122000054668874</v>
      </c>
      <c r="C1665" s="2" t="s">
        <v>10</v>
      </c>
      <c r="D1665" s="2" t="str">
        <f>"程晓玲"</f>
        <v>程晓玲</v>
      </c>
      <c r="E1665" s="2" t="str">
        <f t="shared" si="64"/>
        <v>女</v>
      </c>
    </row>
    <row r="1666" spans="1:5" s="1" customFormat="1" ht="34.5" customHeight="1">
      <c r="A1666" s="2">
        <v>1664</v>
      </c>
      <c r="B1666" s="2" t="str">
        <f>"35932021122000370468889"</f>
        <v>35932021122000370468889</v>
      </c>
      <c r="C1666" s="2" t="s">
        <v>10</v>
      </c>
      <c r="D1666" s="2" t="str">
        <f>"孙景辉"</f>
        <v>孙景辉</v>
      </c>
      <c r="E1666" s="2" t="str">
        <f>"男"</f>
        <v>男</v>
      </c>
    </row>
    <row r="1667" spans="1:5" s="1" customFormat="1" ht="34.5" customHeight="1">
      <c r="A1667" s="2">
        <v>1665</v>
      </c>
      <c r="B1667" s="2" t="str">
        <f>"35932021122000530968891"</f>
        <v>35932021122000530968891</v>
      </c>
      <c r="C1667" s="2" t="s">
        <v>10</v>
      </c>
      <c r="D1667" s="2" t="str">
        <f>"肖文华"</f>
        <v>肖文华</v>
      </c>
      <c r="E1667" s="2" t="str">
        <f aca="true" t="shared" si="65" ref="E1667:E1684">"女"</f>
        <v>女</v>
      </c>
    </row>
    <row r="1668" spans="1:5" s="1" customFormat="1" ht="34.5" customHeight="1">
      <c r="A1668" s="2">
        <v>1666</v>
      </c>
      <c r="B1668" s="2" t="str">
        <f>"35932021122001171768895"</f>
        <v>35932021122001171768895</v>
      </c>
      <c r="C1668" s="2" t="s">
        <v>10</v>
      </c>
      <c r="D1668" s="2" t="str">
        <f>"许小静"</f>
        <v>许小静</v>
      </c>
      <c r="E1668" s="2" t="str">
        <f t="shared" si="65"/>
        <v>女</v>
      </c>
    </row>
    <row r="1669" spans="1:5" s="1" customFormat="1" ht="34.5" customHeight="1">
      <c r="A1669" s="2">
        <v>1667</v>
      </c>
      <c r="B1669" s="2" t="str">
        <f>"35932021122001221368896"</f>
        <v>35932021122001221368896</v>
      </c>
      <c r="C1669" s="2" t="s">
        <v>10</v>
      </c>
      <c r="D1669" s="2" t="str">
        <f>"谢仙妹"</f>
        <v>谢仙妹</v>
      </c>
      <c r="E1669" s="2" t="str">
        <f t="shared" si="65"/>
        <v>女</v>
      </c>
    </row>
    <row r="1670" spans="1:5" s="1" customFormat="1" ht="34.5" customHeight="1">
      <c r="A1670" s="2">
        <v>1668</v>
      </c>
      <c r="B1670" s="2" t="str">
        <f>"35932021122007542668906"</f>
        <v>35932021122007542668906</v>
      </c>
      <c r="C1670" s="2" t="s">
        <v>10</v>
      </c>
      <c r="D1670" s="2" t="str">
        <f>"王萌"</f>
        <v>王萌</v>
      </c>
      <c r="E1670" s="2" t="str">
        <f t="shared" si="65"/>
        <v>女</v>
      </c>
    </row>
    <row r="1671" spans="1:5" s="1" customFormat="1" ht="34.5" customHeight="1">
      <c r="A1671" s="2">
        <v>1669</v>
      </c>
      <c r="B1671" s="2" t="str">
        <f>"35932021122008273168916"</f>
        <v>35932021122008273168916</v>
      </c>
      <c r="C1671" s="2" t="s">
        <v>10</v>
      </c>
      <c r="D1671" s="2" t="str">
        <f>"陈雯倩"</f>
        <v>陈雯倩</v>
      </c>
      <c r="E1671" s="2" t="str">
        <f t="shared" si="65"/>
        <v>女</v>
      </c>
    </row>
    <row r="1672" spans="1:5" s="1" customFormat="1" ht="34.5" customHeight="1">
      <c r="A1672" s="2">
        <v>1670</v>
      </c>
      <c r="B1672" s="2" t="str">
        <f>"35932021122008344668920"</f>
        <v>35932021122008344668920</v>
      </c>
      <c r="C1672" s="2" t="s">
        <v>10</v>
      </c>
      <c r="D1672" s="2" t="str">
        <f>"韦海平"</f>
        <v>韦海平</v>
      </c>
      <c r="E1672" s="2" t="str">
        <f t="shared" si="65"/>
        <v>女</v>
      </c>
    </row>
    <row r="1673" spans="1:5" s="1" customFormat="1" ht="34.5" customHeight="1">
      <c r="A1673" s="2">
        <v>1671</v>
      </c>
      <c r="B1673" s="2" t="str">
        <f>"35932021122008435068927"</f>
        <v>35932021122008435068927</v>
      </c>
      <c r="C1673" s="2" t="s">
        <v>10</v>
      </c>
      <c r="D1673" s="2" t="str">
        <f>"莫乃"</f>
        <v>莫乃</v>
      </c>
      <c r="E1673" s="2" t="str">
        <f t="shared" si="65"/>
        <v>女</v>
      </c>
    </row>
    <row r="1674" spans="1:5" s="1" customFormat="1" ht="34.5" customHeight="1">
      <c r="A1674" s="2">
        <v>1672</v>
      </c>
      <c r="B1674" s="2" t="str">
        <f>"35932021122009063668951"</f>
        <v>35932021122009063668951</v>
      </c>
      <c r="C1674" s="2" t="s">
        <v>10</v>
      </c>
      <c r="D1674" s="2" t="str">
        <f>"潘福女"</f>
        <v>潘福女</v>
      </c>
      <c r="E1674" s="2" t="str">
        <f t="shared" si="65"/>
        <v>女</v>
      </c>
    </row>
    <row r="1675" spans="1:5" s="1" customFormat="1" ht="34.5" customHeight="1">
      <c r="A1675" s="2">
        <v>1673</v>
      </c>
      <c r="B1675" s="2" t="str">
        <f>"35932021122009170768963"</f>
        <v>35932021122009170768963</v>
      </c>
      <c r="C1675" s="2" t="s">
        <v>10</v>
      </c>
      <c r="D1675" s="2" t="str">
        <f>"符丽美"</f>
        <v>符丽美</v>
      </c>
      <c r="E1675" s="2" t="str">
        <f t="shared" si="65"/>
        <v>女</v>
      </c>
    </row>
    <row r="1676" spans="1:5" s="1" customFormat="1" ht="34.5" customHeight="1">
      <c r="A1676" s="2">
        <v>1674</v>
      </c>
      <c r="B1676" s="2" t="str">
        <f>"35932021122009230668967"</f>
        <v>35932021122009230668967</v>
      </c>
      <c r="C1676" s="2" t="s">
        <v>10</v>
      </c>
      <c r="D1676" s="2" t="str">
        <f>"江淑婷"</f>
        <v>江淑婷</v>
      </c>
      <c r="E1676" s="2" t="str">
        <f t="shared" si="65"/>
        <v>女</v>
      </c>
    </row>
    <row r="1677" spans="1:5" s="1" customFormat="1" ht="34.5" customHeight="1">
      <c r="A1677" s="2">
        <v>1675</v>
      </c>
      <c r="B1677" s="2" t="str">
        <f>"35932021122009590569011"</f>
        <v>35932021122009590569011</v>
      </c>
      <c r="C1677" s="2" t="s">
        <v>10</v>
      </c>
      <c r="D1677" s="2" t="str">
        <f>"梁南"</f>
        <v>梁南</v>
      </c>
      <c r="E1677" s="2" t="str">
        <f t="shared" si="65"/>
        <v>女</v>
      </c>
    </row>
    <row r="1678" spans="1:5" s="1" customFormat="1" ht="34.5" customHeight="1">
      <c r="A1678" s="2">
        <v>1676</v>
      </c>
      <c r="B1678" s="2" t="str">
        <f>"35932021122010050069014"</f>
        <v>35932021122010050069014</v>
      </c>
      <c r="C1678" s="2" t="s">
        <v>10</v>
      </c>
      <c r="D1678" s="2" t="str">
        <f>"郑心惟"</f>
        <v>郑心惟</v>
      </c>
      <c r="E1678" s="2" t="str">
        <f t="shared" si="65"/>
        <v>女</v>
      </c>
    </row>
    <row r="1679" spans="1:5" s="1" customFormat="1" ht="34.5" customHeight="1">
      <c r="A1679" s="2">
        <v>1677</v>
      </c>
      <c r="B1679" s="2" t="str">
        <f>"35932021122010174769029"</f>
        <v>35932021122010174769029</v>
      </c>
      <c r="C1679" s="2" t="s">
        <v>10</v>
      </c>
      <c r="D1679" s="2" t="str">
        <f>"杨嬉萍"</f>
        <v>杨嬉萍</v>
      </c>
      <c r="E1679" s="2" t="str">
        <f t="shared" si="65"/>
        <v>女</v>
      </c>
    </row>
    <row r="1680" spans="1:5" s="1" customFormat="1" ht="34.5" customHeight="1">
      <c r="A1680" s="2">
        <v>1678</v>
      </c>
      <c r="B1680" s="2" t="str">
        <f>"35932021122010215769036"</f>
        <v>35932021122010215769036</v>
      </c>
      <c r="C1680" s="2" t="s">
        <v>10</v>
      </c>
      <c r="D1680" s="2" t="str">
        <f>"金苗苗"</f>
        <v>金苗苗</v>
      </c>
      <c r="E1680" s="2" t="str">
        <f t="shared" si="65"/>
        <v>女</v>
      </c>
    </row>
    <row r="1681" spans="1:5" s="1" customFormat="1" ht="34.5" customHeight="1">
      <c r="A1681" s="2">
        <v>1679</v>
      </c>
      <c r="B1681" s="2" t="str">
        <f>"35932021122010372369057"</f>
        <v>35932021122010372369057</v>
      </c>
      <c r="C1681" s="2" t="s">
        <v>10</v>
      </c>
      <c r="D1681" s="2" t="str">
        <f>"王丹"</f>
        <v>王丹</v>
      </c>
      <c r="E1681" s="2" t="str">
        <f t="shared" si="65"/>
        <v>女</v>
      </c>
    </row>
    <row r="1682" spans="1:5" s="1" customFormat="1" ht="34.5" customHeight="1">
      <c r="A1682" s="2">
        <v>1680</v>
      </c>
      <c r="B1682" s="2" t="str">
        <f>"35932021122010521869076"</f>
        <v>35932021122010521869076</v>
      </c>
      <c r="C1682" s="2" t="s">
        <v>10</v>
      </c>
      <c r="D1682" s="2" t="str">
        <f>"杜尚汝"</f>
        <v>杜尚汝</v>
      </c>
      <c r="E1682" s="2" t="str">
        <f t="shared" si="65"/>
        <v>女</v>
      </c>
    </row>
    <row r="1683" spans="1:5" s="1" customFormat="1" ht="34.5" customHeight="1">
      <c r="A1683" s="2">
        <v>1681</v>
      </c>
      <c r="B1683" s="2" t="str">
        <f>"35932021122010552169079"</f>
        <v>35932021122010552169079</v>
      </c>
      <c r="C1683" s="2" t="s">
        <v>10</v>
      </c>
      <c r="D1683" s="2" t="str">
        <f>"陈佳璟"</f>
        <v>陈佳璟</v>
      </c>
      <c r="E1683" s="2" t="str">
        <f t="shared" si="65"/>
        <v>女</v>
      </c>
    </row>
    <row r="1684" spans="1:5" s="1" customFormat="1" ht="34.5" customHeight="1">
      <c r="A1684" s="2">
        <v>1682</v>
      </c>
      <c r="B1684" s="2" t="str">
        <f>"35932021122010553069080"</f>
        <v>35932021122010553069080</v>
      </c>
      <c r="C1684" s="2" t="s">
        <v>10</v>
      </c>
      <c r="D1684" s="2" t="str">
        <f>"吴美慧"</f>
        <v>吴美慧</v>
      </c>
      <c r="E1684" s="2" t="str">
        <f t="shared" si="65"/>
        <v>女</v>
      </c>
    </row>
    <row r="1685" spans="1:5" s="1" customFormat="1" ht="34.5" customHeight="1">
      <c r="A1685" s="2">
        <v>1683</v>
      </c>
      <c r="B1685" s="2" t="str">
        <f>"35932021122011095369097"</f>
        <v>35932021122011095369097</v>
      </c>
      <c r="C1685" s="2" t="s">
        <v>10</v>
      </c>
      <c r="D1685" s="2" t="str">
        <f>"方宇"</f>
        <v>方宇</v>
      </c>
      <c r="E1685" s="2" t="str">
        <f>"男"</f>
        <v>男</v>
      </c>
    </row>
    <row r="1686" spans="1:5" s="1" customFormat="1" ht="34.5" customHeight="1">
      <c r="A1686" s="2">
        <v>1684</v>
      </c>
      <c r="B1686" s="2" t="str">
        <f>"35932021122011214569105"</f>
        <v>35932021122011214569105</v>
      </c>
      <c r="C1686" s="2" t="s">
        <v>10</v>
      </c>
      <c r="D1686" s="2" t="str">
        <f>"刘彤"</f>
        <v>刘彤</v>
      </c>
      <c r="E1686" s="2" t="str">
        <f>"女"</f>
        <v>女</v>
      </c>
    </row>
    <row r="1687" spans="1:5" s="1" customFormat="1" ht="34.5" customHeight="1">
      <c r="A1687" s="2">
        <v>1685</v>
      </c>
      <c r="B1687" s="2" t="str">
        <f>"35932021122011383669127"</f>
        <v>35932021122011383669127</v>
      </c>
      <c r="C1687" s="2" t="s">
        <v>10</v>
      </c>
      <c r="D1687" s="2" t="str">
        <f>"钟丽"</f>
        <v>钟丽</v>
      </c>
      <c r="E1687" s="2" t="str">
        <f>"女"</f>
        <v>女</v>
      </c>
    </row>
    <row r="1688" spans="1:5" s="1" customFormat="1" ht="34.5" customHeight="1">
      <c r="A1688" s="2">
        <v>1686</v>
      </c>
      <c r="B1688" s="2" t="str">
        <f>"35932021122011450769135"</f>
        <v>35932021122011450769135</v>
      </c>
      <c r="C1688" s="2" t="s">
        <v>10</v>
      </c>
      <c r="D1688" s="2" t="str">
        <f>"陈积琼"</f>
        <v>陈积琼</v>
      </c>
      <c r="E1688" s="2" t="str">
        <f>"女"</f>
        <v>女</v>
      </c>
    </row>
    <row r="1689" spans="1:5" s="1" customFormat="1" ht="34.5" customHeight="1">
      <c r="A1689" s="2">
        <v>1687</v>
      </c>
      <c r="B1689" s="2" t="str">
        <f>"35932021120711552864615"</f>
        <v>35932021120711552864615</v>
      </c>
      <c r="C1689" s="2" t="s">
        <v>11</v>
      </c>
      <c r="D1689" s="2" t="str">
        <f>"何子恒"</f>
        <v>何子恒</v>
      </c>
      <c r="E1689" s="2" t="str">
        <f>"男"</f>
        <v>男</v>
      </c>
    </row>
    <row r="1690" spans="1:5" s="1" customFormat="1" ht="34.5" customHeight="1">
      <c r="A1690" s="2">
        <v>1688</v>
      </c>
      <c r="B1690" s="2" t="str">
        <f>"35932021120712062464635"</f>
        <v>35932021120712062464635</v>
      </c>
      <c r="C1690" s="2" t="s">
        <v>11</v>
      </c>
      <c r="D1690" s="2" t="str">
        <f>"符瑞女"</f>
        <v>符瑞女</v>
      </c>
      <c r="E1690" s="2" t="str">
        <f>"女"</f>
        <v>女</v>
      </c>
    </row>
    <row r="1691" spans="1:5" s="1" customFormat="1" ht="34.5" customHeight="1">
      <c r="A1691" s="2">
        <v>1689</v>
      </c>
      <c r="B1691" s="2" t="str">
        <f>"35932021120712475464702"</f>
        <v>35932021120712475464702</v>
      </c>
      <c r="C1691" s="2" t="s">
        <v>11</v>
      </c>
      <c r="D1691" s="2" t="str">
        <f>"李影"</f>
        <v>李影</v>
      </c>
      <c r="E1691" s="2" t="str">
        <f>"女"</f>
        <v>女</v>
      </c>
    </row>
    <row r="1692" spans="1:5" s="1" customFormat="1" ht="34.5" customHeight="1">
      <c r="A1692" s="2">
        <v>1690</v>
      </c>
      <c r="B1692" s="2" t="str">
        <f>"35932021120713173664750"</f>
        <v>35932021120713173664750</v>
      </c>
      <c r="C1692" s="2" t="s">
        <v>11</v>
      </c>
      <c r="D1692" s="2" t="str">
        <f>"李松键"</f>
        <v>李松键</v>
      </c>
      <c r="E1692" s="2" t="str">
        <f>"男"</f>
        <v>男</v>
      </c>
    </row>
    <row r="1693" spans="1:5" s="1" customFormat="1" ht="34.5" customHeight="1">
      <c r="A1693" s="2">
        <v>1691</v>
      </c>
      <c r="B1693" s="2" t="str">
        <f>"35932021120713525764793"</f>
        <v>35932021120713525764793</v>
      </c>
      <c r="C1693" s="2" t="s">
        <v>11</v>
      </c>
      <c r="D1693" s="2" t="str">
        <f>"张雨晴"</f>
        <v>张雨晴</v>
      </c>
      <c r="E1693" s="2" t="str">
        <f>"女"</f>
        <v>女</v>
      </c>
    </row>
    <row r="1694" spans="1:5" s="1" customFormat="1" ht="34.5" customHeight="1">
      <c r="A1694" s="2">
        <v>1692</v>
      </c>
      <c r="B1694" s="2" t="str">
        <f>"35932021120713561164799"</f>
        <v>35932021120713561164799</v>
      </c>
      <c r="C1694" s="2" t="s">
        <v>11</v>
      </c>
      <c r="D1694" s="2" t="str">
        <f>"黄志明"</f>
        <v>黄志明</v>
      </c>
      <c r="E1694" s="2" t="str">
        <f>"男"</f>
        <v>男</v>
      </c>
    </row>
    <row r="1695" spans="1:5" s="1" customFormat="1" ht="34.5" customHeight="1">
      <c r="A1695" s="2">
        <v>1693</v>
      </c>
      <c r="B1695" s="2" t="str">
        <f>"35932021120714234764856"</f>
        <v>35932021120714234764856</v>
      </c>
      <c r="C1695" s="2" t="s">
        <v>11</v>
      </c>
      <c r="D1695" s="2" t="str">
        <f>"王颖"</f>
        <v>王颖</v>
      </c>
      <c r="E1695" s="2" t="str">
        <f>"女"</f>
        <v>女</v>
      </c>
    </row>
    <row r="1696" spans="1:5" s="1" customFormat="1" ht="34.5" customHeight="1">
      <c r="A1696" s="2">
        <v>1694</v>
      </c>
      <c r="B1696" s="2" t="str">
        <f>"35932021120714501364917"</f>
        <v>35932021120714501364917</v>
      </c>
      <c r="C1696" s="2" t="s">
        <v>11</v>
      </c>
      <c r="D1696" s="2" t="str">
        <f>"王彬"</f>
        <v>王彬</v>
      </c>
      <c r="E1696" s="2" t="str">
        <f>"男"</f>
        <v>男</v>
      </c>
    </row>
    <row r="1697" spans="1:5" s="1" customFormat="1" ht="34.5" customHeight="1">
      <c r="A1697" s="2">
        <v>1695</v>
      </c>
      <c r="B1697" s="2" t="str">
        <f>"35932021120715480665088"</f>
        <v>35932021120715480665088</v>
      </c>
      <c r="C1697" s="2" t="s">
        <v>11</v>
      </c>
      <c r="D1697" s="2" t="str">
        <f>"吕明灏"</f>
        <v>吕明灏</v>
      </c>
      <c r="E1697" s="2" t="str">
        <f>"男"</f>
        <v>男</v>
      </c>
    </row>
    <row r="1698" spans="1:5" s="1" customFormat="1" ht="34.5" customHeight="1">
      <c r="A1698" s="2">
        <v>1696</v>
      </c>
      <c r="B1698" s="2" t="str">
        <f>"35932021120716031065134"</f>
        <v>35932021120716031065134</v>
      </c>
      <c r="C1698" s="2" t="s">
        <v>11</v>
      </c>
      <c r="D1698" s="2" t="str">
        <f>"梁影"</f>
        <v>梁影</v>
      </c>
      <c r="E1698" s="2" t="str">
        <f>"女"</f>
        <v>女</v>
      </c>
    </row>
    <row r="1699" spans="1:5" s="1" customFormat="1" ht="34.5" customHeight="1">
      <c r="A1699" s="2">
        <v>1697</v>
      </c>
      <c r="B1699" s="2" t="str">
        <f>"35932021120716032365135"</f>
        <v>35932021120716032365135</v>
      </c>
      <c r="C1699" s="2" t="s">
        <v>11</v>
      </c>
      <c r="D1699" s="2" t="str">
        <f>"李儒瑞"</f>
        <v>李儒瑞</v>
      </c>
      <c r="E1699" s="2" t="str">
        <f>"男"</f>
        <v>男</v>
      </c>
    </row>
    <row r="1700" spans="1:5" s="1" customFormat="1" ht="34.5" customHeight="1">
      <c r="A1700" s="2">
        <v>1698</v>
      </c>
      <c r="B1700" s="2" t="str">
        <f>"35932021120716441765246"</f>
        <v>35932021120716441765246</v>
      </c>
      <c r="C1700" s="2" t="s">
        <v>11</v>
      </c>
      <c r="D1700" s="2" t="str">
        <f>"符淑娜"</f>
        <v>符淑娜</v>
      </c>
      <c r="E1700" s="2" t="str">
        <f>"女"</f>
        <v>女</v>
      </c>
    </row>
    <row r="1701" spans="1:5" s="1" customFormat="1" ht="34.5" customHeight="1">
      <c r="A1701" s="2">
        <v>1699</v>
      </c>
      <c r="B1701" s="2" t="str">
        <f>"35932021120716482965257"</f>
        <v>35932021120716482965257</v>
      </c>
      <c r="C1701" s="2" t="s">
        <v>11</v>
      </c>
      <c r="D1701" s="2" t="str">
        <f>"卓筠秤"</f>
        <v>卓筠秤</v>
      </c>
      <c r="E1701" s="2" t="str">
        <f>"男"</f>
        <v>男</v>
      </c>
    </row>
    <row r="1702" spans="1:5" s="1" customFormat="1" ht="34.5" customHeight="1">
      <c r="A1702" s="2">
        <v>1700</v>
      </c>
      <c r="B1702" s="2" t="str">
        <f>"35932021120717035265291"</f>
        <v>35932021120717035265291</v>
      </c>
      <c r="C1702" s="2" t="s">
        <v>11</v>
      </c>
      <c r="D1702" s="2" t="str">
        <f>"陈岩玲"</f>
        <v>陈岩玲</v>
      </c>
      <c r="E1702" s="2" t="str">
        <f>"女"</f>
        <v>女</v>
      </c>
    </row>
    <row r="1703" spans="1:5" s="1" customFormat="1" ht="34.5" customHeight="1">
      <c r="A1703" s="2">
        <v>1701</v>
      </c>
      <c r="B1703" s="2" t="str">
        <f>"35932021120717161865312"</f>
        <v>35932021120717161865312</v>
      </c>
      <c r="C1703" s="2" t="s">
        <v>11</v>
      </c>
      <c r="D1703" s="2" t="str">
        <f>"许环著"</f>
        <v>许环著</v>
      </c>
      <c r="E1703" s="2" t="str">
        <f>"男"</f>
        <v>男</v>
      </c>
    </row>
    <row r="1704" spans="1:5" s="1" customFormat="1" ht="34.5" customHeight="1">
      <c r="A1704" s="2">
        <v>1702</v>
      </c>
      <c r="B1704" s="2" t="str">
        <f>"35932021120717312065335"</f>
        <v>35932021120717312065335</v>
      </c>
      <c r="C1704" s="2" t="s">
        <v>11</v>
      </c>
      <c r="D1704" s="2" t="str">
        <f>"王杨斌"</f>
        <v>王杨斌</v>
      </c>
      <c r="E1704" s="2" t="str">
        <f>"男"</f>
        <v>男</v>
      </c>
    </row>
    <row r="1705" spans="1:5" s="1" customFormat="1" ht="34.5" customHeight="1">
      <c r="A1705" s="2">
        <v>1703</v>
      </c>
      <c r="B1705" s="2" t="str">
        <f>"35932021120718004865359"</f>
        <v>35932021120718004865359</v>
      </c>
      <c r="C1705" s="2" t="s">
        <v>11</v>
      </c>
      <c r="D1705" s="2" t="str">
        <f>"龙籍壮"</f>
        <v>龙籍壮</v>
      </c>
      <c r="E1705" s="2" t="str">
        <f>"男"</f>
        <v>男</v>
      </c>
    </row>
    <row r="1706" spans="1:5" s="1" customFormat="1" ht="34.5" customHeight="1">
      <c r="A1706" s="2">
        <v>1704</v>
      </c>
      <c r="B1706" s="2" t="str">
        <f>"35932021120718304765372"</f>
        <v>35932021120718304765372</v>
      </c>
      <c r="C1706" s="2" t="s">
        <v>11</v>
      </c>
      <c r="D1706" s="2" t="str">
        <f>"刘康健宁"</f>
        <v>刘康健宁</v>
      </c>
      <c r="E1706" s="2" t="str">
        <f>"女"</f>
        <v>女</v>
      </c>
    </row>
    <row r="1707" spans="1:5" s="1" customFormat="1" ht="34.5" customHeight="1">
      <c r="A1707" s="2">
        <v>1705</v>
      </c>
      <c r="B1707" s="2" t="str">
        <f>"35932021120719132765397"</f>
        <v>35932021120719132765397</v>
      </c>
      <c r="C1707" s="2" t="s">
        <v>11</v>
      </c>
      <c r="D1707" s="2" t="str">
        <f>"郑迪"</f>
        <v>郑迪</v>
      </c>
      <c r="E1707" s="2" t="str">
        <f>"女"</f>
        <v>女</v>
      </c>
    </row>
    <row r="1708" spans="1:5" s="1" customFormat="1" ht="34.5" customHeight="1">
      <c r="A1708" s="2">
        <v>1706</v>
      </c>
      <c r="B1708" s="2" t="str">
        <f>"35932021120719243465410"</f>
        <v>35932021120719243465410</v>
      </c>
      <c r="C1708" s="2" t="s">
        <v>11</v>
      </c>
      <c r="D1708" s="2" t="str">
        <f>"梁正雨"</f>
        <v>梁正雨</v>
      </c>
      <c r="E1708" s="2" t="str">
        <f>"男"</f>
        <v>男</v>
      </c>
    </row>
    <row r="1709" spans="1:5" s="1" customFormat="1" ht="34.5" customHeight="1">
      <c r="A1709" s="2">
        <v>1707</v>
      </c>
      <c r="B1709" s="2" t="str">
        <f>"35932021120719312765416"</f>
        <v>35932021120719312765416</v>
      </c>
      <c r="C1709" s="2" t="s">
        <v>11</v>
      </c>
      <c r="D1709" s="2" t="str">
        <f>"李智贤"</f>
        <v>李智贤</v>
      </c>
      <c r="E1709" s="2" t="str">
        <f>"女"</f>
        <v>女</v>
      </c>
    </row>
    <row r="1710" spans="1:5" s="1" customFormat="1" ht="34.5" customHeight="1">
      <c r="A1710" s="2">
        <v>1708</v>
      </c>
      <c r="B1710" s="2" t="str">
        <f>"35932021120722244565518"</f>
        <v>35932021120722244565518</v>
      </c>
      <c r="C1710" s="2" t="s">
        <v>11</v>
      </c>
      <c r="D1710" s="2" t="str">
        <f>"许津滔"</f>
        <v>许津滔</v>
      </c>
      <c r="E1710" s="2" t="str">
        <f>"男"</f>
        <v>男</v>
      </c>
    </row>
    <row r="1711" spans="1:5" s="1" customFormat="1" ht="34.5" customHeight="1">
      <c r="A1711" s="2">
        <v>1709</v>
      </c>
      <c r="B1711" s="2" t="str">
        <f>"35932021120723210765547"</f>
        <v>35932021120723210765547</v>
      </c>
      <c r="C1711" s="2" t="s">
        <v>11</v>
      </c>
      <c r="D1711" s="2" t="str">
        <f>"王丽怡"</f>
        <v>王丽怡</v>
      </c>
      <c r="E1711" s="2" t="str">
        <f aca="true" t="shared" si="66" ref="E1711:E1718">"女"</f>
        <v>女</v>
      </c>
    </row>
    <row r="1712" spans="1:5" s="1" customFormat="1" ht="34.5" customHeight="1">
      <c r="A1712" s="2">
        <v>1710</v>
      </c>
      <c r="B1712" s="2" t="str">
        <f>"35932021120723233765549"</f>
        <v>35932021120723233765549</v>
      </c>
      <c r="C1712" s="2" t="s">
        <v>11</v>
      </c>
      <c r="D1712" s="2" t="str">
        <f>"王钰琳"</f>
        <v>王钰琳</v>
      </c>
      <c r="E1712" s="2" t="str">
        <f t="shared" si="66"/>
        <v>女</v>
      </c>
    </row>
    <row r="1713" spans="1:5" s="1" customFormat="1" ht="34.5" customHeight="1">
      <c r="A1713" s="2">
        <v>1711</v>
      </c>
      <c r="B1713" s="2" t="str">
        <f>"35932021120808401165584"</f>
        <v>35932021120808401165584</v>
      </c>
      <c r="C1713" s="2" t="s">
        <v>11</v>
      </c>
      <c r="D1713" s="2" t="str">
        <f>"朱欣"</f>
        <v>朱欣</v>
      </c>
      <c r="E1713" s="2" t="str">
        <f t="shared" si="66"/>
        <v>女</v>
      </c>
    </row>
    <row r="1714" spans="1:5" s="1" customFormat="1" ht="34.5" customHeight="1">
      <c r="A1714" s="2">
        <v>1712</v>
      </c>
      <c r="B1714" s="2" t="str">
        <f>"35932021120811460165736"</f>
        <v>35932021120811460165736</v>
      </c>
      <c r="C1714" s="2" t="s">
        <v>11</v>
      </c>
      <c r="D1714" s="2" t="str">
        <f>"张凯悦"</f>
        <v>张凯悦</v>
      </c>
      <c r="E1714" s="2" t="str">
        <f t="shared" si="66"/>
        <v>女</v>
      </c>
    </row>
    <row r="1715" spans="1:5" s="1" customFormat="1" ht="34.5" customHeight="1">
      <c r="A1715" s="2">
        <v>1713</v>
      </c>
      <c r="B1715" s="2" t="str">
        <f>"35932021120812151365753"</f>
        <v>35932021120812151365753</v>
      </c>
      <c r="C1715" s="2" t="s">
        <v>11</v>
      </c>
      <c r="D1715" s="2" t="str">
        <f>"陈壮婷"</f>
        <v>陈壮婷</v>
      </c>
      <c r="E1715" s="2" t="str">
        <f t="shared" si="66"/>
        <v>女</v>
      </c>
    </row>
    <row r="1716" spans="1:5" s="1" customFormat="1" ht="34.5" customHeight="1">
      <c r="A1716" s="2">
        <v>1714</v>
      </c>
      <c r="B1716" s="2" t="str">
        <f>"35932021120812283365759"</f>
        <v>35932021120812283365759</v>
      </c>
      <c r="C1716" s="2" t="s">
        <v>11</v>
      </c>
      <c r="D1716" s="2" t="str">
        <f>"蒋先曼"</f>
        <v>蒋先曼</v>
      </c>
      <c r="E1716" s="2" t="str">
        <f t="shared" si="66"/>
        <v>女</v>
      </c>
    </row>
    <row r="1717" spans="1:5" s="1" customFormat="1" ht="34.5" customHeight="1">
      <c r="A1717" s="2">
        <v>1715</v>
      </c>
      <c r="B1717" s="2" t="str">
        <f>"35932021120814033365804"</f>
        <v>35932021120814033365804</v>
      </c>
      <c r="C1717" s="2" t="s">
        <v>11</v>
      </c>
      <c r="D1717" s="2" t="str">
        <f>"王贺锦"</f>
        <v>王贺锦</v>
      </c>
      <c r="E1717" s="2" t="str">
        <f t="shared" si="66"/>
        <v>女</v>
      </c>
    </row>
    <row r="1718" spans="1:5" s="1" customFormat="1" ht="34.5" customHeight="1">
      <c r="A1718" s="2">
        <v>1716</v>
      </c>
      <c r="B1718" s="2" t="str">
        <f>"35932021120814065865806"</f>
        <v>35932021120814065865806</v>
      </c>
      <c r="C1718" s="2" t="s">
        <v>11</v>
      </c>
      <c r="D1718" s="2" t="str">
        <f>"于典"</f>
        <v>于典</v>
      </c>
      <c r="E1718" s="2" t="str">
        <f t="shared" si="66"/>
        <v>女</v>
      </c>
    </row>
    <row r="1719" spans="1:5" s="1" customFormat="1" ht="34.5" customHeight="1">
      <c r="A1719" s="2">
        <v>1717</v>
      </c>
      <c r="B1719" s="2" t="str">
        <f>"35932021120814321865819"</f>
        <v>35932021120814321865819</v>
      </c>
      <c r="C1719" s="2" t="s">
        <v>11</v>
      </c>
      <c r="D1719" s="2" t="str">
        <f>"寇青伟"</f>
        <v>寇青伟</v>
      </c>
      <c r="E1719" s="2" t="str">
        <f>"男"</f>
        <v>男</v>
      </c>
    </row>
    <row r="1720" spans="1:5" s="1" customFormat="1" ht="34.5" customHeight="1">
      <c r="A1720" s="2">
        <v>1718</v>
      </c>
      <c r="B1720" s="2" t="str">
        <f>"35932021120814372465822"</f>
        <v>35932021120814372465822</v>
      </c>
      <c r="C1720" s="2" t="s">
        <v>11</v>
      </c>
      <c r="D1720" s="2" t="str">
        <f>"陈明宏"</f>
        <v>陈明宏</v>
      </c>
      <c r="E1720" s="2" t="str">
        <f>"男"</f>
        <v>男</v>
      </c>
    </row>
    <row r="1721" spans="1:5" s="1" customFormat="1" ht="34.5" customHeight="1">
      <c r="A1721" s="2">
        <v>1719</v>
      </c>
      <c r="B1721" s="2" t="str">
        <f>"35932021120814410565824"</f>
        <v>35932021120814410565824</v>
      </c>
      <c r="C1721" s="2" t="s">
        <v>11</v>
      </c>
      <c r="D1721" s="2" t="str">
        <f>"文宇铭"</f>
        <v>文宇铭</v>
      </c>
      <c r="E1721" s="2" t="str">
        <f>"男"</f>
        <v>男</v>
      </c>
    </row>
    <row r="1722" spans="1:5" s="1" customFormat="1" ht="34.5" customHeight="1">
      <c r="A1722" s="2">
        <v>1720</v>
      </c>
      <c r="B1722" s="2" t="str">
        <f>"35932021120815145065834"</f>
        <v>35932021120815145065834</v>
      </c>
      <c r="C1722" s="2" t="s">
        <v>11</v>
      </c>
      <c r="D1722" s="2" t="str">
        <f>"何禹生"</f>
        <v>何禹生</v>
      </c>
      <c r="E1722" s="2" t="str">
        <f>"男"</f>
        <v>男</v>
      </c>
    </row>
    <row r="1723" spans="1:5" s="1" customFormat="1" ht="34.5" customHeight="1">
      <c r="A1723" s="2">
        <v>1721</v>
      </c>
      <c r="B1723" s="2" t="str">
        <f>"35932021120817175265919"</f>
        <v>35932021120817175265919</v>
      </c>
      <c r="C1723" s="2" t="s">
        <v>11</v>
      </c>
      <c r="D1723" s="2" t="str">
        <f>"王位功"</f>
        <v>王位功</v>
      </c>
      <c r="E1723" s="2" t="str">
        <f>"男"</f>
        <v>男</v>
      </c>
    </row>
    <row r="1724" spans="1:5" s="1" customFormat="1" ht="34.5" customHeight="1">
      <c r="A1724" s="2">
        <v>1722</v>
      </c>
      <c r="B1724" s="2" t="str">
        <f>"35932021120820494966013"</f>
        <v>35932021120820494966013</v>
      </c>
      <c r="C1724" s="2" t="s">
        <v>11</v>
      </c>
      <c r="D1724" s="2" t="str">
        <f>"黄婕"</f>
        <v>黄婕</v>
      </c>
      <c r="E1724" s="2" t="str">
        <f>"女"</f>
        <v>女</v>
      </c>
    </row>
    <row r="1725" spans="1:5" s="1" customFormat="1" ht="34.5" customHeight="1">
      <c r="A1725" s="2">
        <v>1723</v>
      </c>
      <c r="B1725" s="2" t="str">
        <f>"35932021120820555466019"</f>
        <v>35932021120820555466019</v>
      </c>
      <c r="C1725" s="2" t="s">
        <v>11</v>
      </c>
      <c r="D1725" s="2" t="str">
        <f>"林妹"</f>
        <v>林妹</v>
      </c>
      <c r="E1725" s="2" t="str">
        <f>"女"</f>
        <v>女</v>
      </c>
    </row>
    <row r="1726" spans="1:5" s="1" customFormat="1" ht="34.5" customHeight="1">
      <c r="A1726" s="2">
        <v>1724</v>
      </c>
      <c r="B1726" s="2" t="str">
        <f>"35932021120822433366076"</f>
        <v>35932021120822433366076</v>
      </c>
      <c r="C1726" s="2" t="s">
        <v>11</v>
      </c>
      <c r="D1726" s="2" t="str">
        <f>"陈妍敏"</f>
        <v>陈妍敏</v>
      </c>
      <c r="E1726" s="2" t="str">
        <f>"女"</f>
        <v>女</v>
      </c>
    </row>
    <row r="1727" spans="1:5" s="1" customFormat="1" ht="34.5" customHeight="1">
      <c r="A1727" s="2">
        <v>1725</v>
      </c>
      <c r="B1727" s="2" t="str">
        <f>"35932021120823473666098"</f>
        <v>35932021120823473666098</v>
      </c>
      <c r="C1727" s="2" t="s">
        <v>11</v>
      </c>
      <c r="D1727" s="2" t="str">
        <f>"邱欣"</f>
        <v>邱欣</v>
      </c>
      <c r="E1727" s="2" t="str">
        <f>"男"</f>
        <v>男</v>
      </c>
    </row>
    <row r="1728" spans="1:5" s="1" customFormat="1" ht="34.5" customHeight="1">
      <c r="A1728" s="2">
        <v>1726</v>
      </c>
      <c r="B1728" s="2" t="str">
        <f>"35932021120909405066158"</f>
        <v>35932021120909405066158</v>
      </c>
      <c r="C1728" s="2" t="s">
        <v>11</v>
      </c>
      <c r="D1728" s="2" t="str">
        <f>"吴彪能"</f>
        <v>吴彪能</v>
      </c>
      <c r="E1728" s="2" t="str">
        <f>"男"</f>
        <v>男</v>
      </c>
    </row>
    <row r="1729" spans="1:5" s="1" customFormat="1" ht="34.5" customHeight="1">
      <c r="A1729" s="2">
        <v>1727</v>
      </c>
      <c r="B1729" s="2" t="str">
        <f>"35932021120910221666185"</f>
        <v>35932021120910221666185</v>
      </c>
      <c r="C1729" s="2" t="s">
        <v>11</v>
      </c>
      <c r="D1729" s="2" t="str">
        <f>"刘定康"</f>
        <v>刘定康</v>
      </c>
      <c r="E1729" s="2" t="str">
        <f>"男"</f>
        <v>男</v>
      </c>
    </row>
    <row r="1730" spans="1:5" s="1" customFormat="1" ht="34.5" customHeight="1">
      <c r="A1730" s="2">
        <v>1728</v>
      </c>
      <c r="B1730" s="2" t="str">
        <f>"35932021120912000166238"</f>
        <v>35932021120912000166238</v>
      </c>
      <c r="C1730" s="2" t="s">
        <v>11</v>
      </c>
      <c r="D1730" s="2" t="str">
        <f>"钟霞婉"</f>
        <v>钟霞婉</v>
      </c>
      <c r="E1730" s="2" t="str">
        <f>"女"</f>
        <v>女</v>
      </c>
    </row>
    <row r="1731" spans="1:5" s="1" customFormat="1" ht="34.5" customHeight="1">
      <c r="A1731" s="2">
        <v>1729</v>
      </c>
      <c r="B1731" s="2" t="str">
        <f>"35932021120912312266247"</f>
        <v>35932021120912312266247</v>
      </c>
      <c r="C1731" s="2" t="s">
        <v>11</v>
      </c>
      <c r="D1731" s="2" t="str">
        <f>"王颖"</f>
        <v>王颖</v>
      </c>
      <c r="E1731" s="2" t="str">
        <f>"女"</f>
        <v>女</v>
      </c>
    </row>
    <row r="1732" spans="1:5" s="1" customFormat="1" ht="34.5" customHeight="1">
      <c r="A1732" s="2">
        <v>1730</v>
      </c>
      <c r="B1732" s="2" t="str">
        <f>"35932021120912570766253"</f>
        <v>35932021120912570766253</v>
      </c>
      <c r="C1732" s="2" t="s">
        <v>11</v>
      </c>
      <c r="D1732" s="2" t="str">
        <f>"李家锦"</f>
        <v>李家锦</v>
      </c>
      <c r="E1732" s="2" t="str">
        <f>"男"</f>
        <v>男</v>
      </c>
    </row>
    <row r="1733" spans="1:5" s="1" customFormat="1" ht="34.5" customHeight="1">
      <c r="A1733" s="2">
        <v>1731</v>
      </c>
      <c r="B1733" s="2" t="str">
        <f>"35932021120915024166299"</f>
        <v>35932021120915024166299</v>
      </c>
      <c r="C1733" s="2" t="s">
        <v>11</v>
      </c>
      <c r="D1733" s="2" t="str">
        <f>"余华"</f>
        <v>余华</v>
      </c>
      <c r="E1733" s="2" t="str">
        <f>"男"</f>
        <v>男</v>
      </c>
    </row>
    <row r="1734" spans="1:5" s="1" customFormat="1" ht="34.5" customHeight="1">
      <c r="A1734" s="2">
        <v>1732</v>
      </c>
      <c r="B1734" s="2" t="str">
        <f>"35932021120915120766305"</f>
        <v>35932021120915120766305</v>
      </c>
      <c r="C1734" s="2" t="s">
        <v>11</v>
      </c>
      <c r="D1734" s="2" t="str">
        <f>"郭妙婷"</f>
        <v>郭妙婷</v>
      </c>
      <c r="E1734" s="2" t="str">
        <f>"女"</f>
        <v>女</v>
      </c>
    </row>
    <row r="1735" spans="1:5" s="1" customFormat="1" ht="34.5" customHeight="1">
      <c r="A1735" s="2">
        <v>1733</v>
      </c>
      <c r="B1735" s="2" t="str">
        <f>"35932021120916111466344"</f>
        <v>35932021120916111466344</v>
      </c>
      <c r="C1735" s="2" t="s">
        <v>11</v>
      </c>
      <c r="D1735" s="2" t="str">
        <f>"伍芹瑶"</f>
        <v>伍芹瑶</v>
      </c>
      <c r="E1735" s="2" t="str">
        <f>"女"</f>
        <v>女</v>
      </c>
    </row>
    <row r="1736" spans="1:5" s="1" customFormat="1" ht="34.5" customHeight="1">
      <c r="A1736" s="2">
        <v>1734</v>
      </c>
      <c r="B1736" s="2" t="str">
        <f>"35932021120917065166378"</f>
        <v>35932021120917065166378</v>
      </c>
      <c r="C1736" s="2" t="s">
        <v>11</v>
      </c>
      <c r="D1736" s="2" t="str">
        <f>"宋露阳"</f>
        <v>宋露阳</v>
      </c>
      <c r="E1736" s="2" t="str">
        <f>"女"</f>
        <v>女</v>
      </c>
    </row>
    <row r="1737" spans="1:5" s="1" customFormat="1" ht="34.5" customHeight="1">
      <c r="A1737" s="2">
        <v>1735</v>
      </c>
      <c r="B1737" s="2" t="str">
        <f>"35932021120917300466385"</f>
        <v>35932021120917300466385</v>
      </c>
      <c r="C1737" s="2" t="s">
        <v>11</v>
      </c>
      <c r="D1737" s="2" t="str">
        <f>"邓玉凤"</f>
        <v>邓玉凤</v>
      </c>
      <c r="E1737" s="2" t="str">
        <f>"女"</f>
        <v>女</v>
      </c>
    </row>
    <row r="1738" spans="1:5" s="1" customFormat="1" ht="34.5" customHeight="1">
      <c r="A1738" s="2">
        <v>1736</v>
      </c>
      <c r="B1738" s="2" t="str">
        <f>"35932021120918575966407"</f>
        <v>35932021120918575966407</v>
      </c>
      <c r="C1738" s="2" t="s">
        <v>11</v>
      </c>
      <c r="D1738" s="2" t="str">
        <f>"邢斯皓"</f>
        <v>邢斯皓</v>
      </c>
      <c r="E1738" s="2" t="str">
        <f>"男"</f>
        <v>男</v>
      </c>
    </row>
    <row r="1739" spans="1:5" s="1" customFormat="1" ht="34.5" customHeight="1">
      <c r="A1739" s="2">
        <v>1737</v>
      </c>
      <c r="B1739" s="2" t="str">
        <f>"35932021120920481466441"</f>
        <v>35932021120920481466441</v>
      </c>
      <c r="C1739" s="2" t="s">
        <v>11</v>
      </c>
      <c r="D1739" s="2" t="str">
        <f>"陈健"</f>
        <v>陈健</v>
      </c>
      <c r="E1739" s="2" t="str">
        <f>"男"</f>
        <v>男</v>
      </c>
    </row>
    <row r="1740" spans="1:5" s="1" customFormat="1" ht="34.5" customHeight="1">
      <c r="A1740" s="2">
        <v>1738</v>
      </c>
      <c r="B1740" s="2" t="str">
        <f>"35932021120921021966445"</f>
        <v>35932021120921021966445</v>
      </c>
      <c r="C1740" s="2" t="s">
        <v>11</v>
      </c>
      <c r="D1740" s="2" t="str">
        <f>"石朝怡"</f>
        <v>石朝怡</v>
      </c>
      <c r="E1740" s="2" t="str">
        <f>"女"</f>
        <v>女</v>
      </c>
    </row>
    <row r="1741" spans="1:5" s="1" customFormat="1" ht="34.5" customHeight="1">
      <c r="A1741" s="2">
        <v>1739</v>
      </c>
      <c r="B1741" s="2" t="str">
        <f>"35932021120921474066464"</f>
        <v>35932021120921474066464</v>
      </c>
      <c r="C1741" s="2" t="s">
        <v>11</v>
      </c>
      <c r="D1741" s="2" t="str">
        <f>"王嵩钧"</f>
        <v>王嵩钧</v>
      </c>
      <c r="E1741" s="2" t="str">
        <f>"男"</f>
        <v>男</v>
      </c>
    </row>
    <row r="1742" spans="1:5" s="1" customFormat="1" ht="34.5" customHeight="1">
      <c r="A1742" s="2">
        <v>1740</v>
      </c>
      <c r="B1742" s="2" t="str">
        <f>"35932021121008331966495"</f>
        <v>35932021121008331966495</v>
      </c>
      <c r="C1742" s="2" t="s">
        <v>11</v>
      </c>
      <c r="D1742" s="2" t="str">
        <f>"林静"</f>
        <v>林静</v>
      </c>
      <c r="E1742" s="2" t="str">
        <f>"女"</f>
        <v>女</v>
      </c>
    </row>
    <row r="1743" spans="1:5" s="1" customFormat="1" ht="34.5" customHeight="1">
      <c r="A1743" s="2">
        <v>1741</v>
      </c>
      <c r="B1743" s="2" t="str">
        <f>"35932021121010174666522"</f>
        <v>35932021121010174666522</v>
      </c>
      <c r="C1743" s="2" t="s">
        <v>11</v>
      </c>
      <c r="D1743" s="2" t="str">
        <f>"邹明书"</f>
        <v>邹明书</v>
      </c>
      <c r="E1743" s="2" t="str">
        <f>"女"</f>
        <v>女</v>
      </c>
    </row>
    <row r="1744" spans="1:5" s="1" customFormat="1" ht="34.5" customHeight="1">
      <c r="A1744" s="2">
        <v>1742</v>
      </c>
      <c r="B1744" s="2" t="str">
        <f>"35932021121011543766573"</f>
        <v>35932021121011543766573</v>
      </c>
      <c r="C1744" s="2" t="s">
        <v>11</v>
      </c>
      <c r="D1744" s="2" t="str">
        <f>"周月"</f>
        <v>周月</v>
      </c>
      <c r="E1744" s="2" t="str">
        <f>"女"</f>
        <v>女</v>
      </c>
    </row>
    <row r="1745" spans="1:5" s="1" customFormat="1" ht="34.5" customHeight="1">
      <c r="A1745" s="2">
        <v>1743</v>
      </c>
      <c r="B1745" s="2" t="str">
        <f>"35932021121012045066577"</f>
        <v>35932021121012045066577</v>
      </c>
      <c r="C1745" s="2" t="s">
        <v>11</v>
      </c>
      <c r="D1745" s="2" t="str">
        <f>"莫雪妮"</f>
        <v>莫雪妮</v>
      </c>
      <c r="E1745" s="2" t="str">
        <f>"女"</f>
        <v>女</v>
      </c>
    </row>
    <row r="1746" spans="1:5" s="1" customFormat="1" ht="34.5" customHeight="1">
      <c r="A1746" s="2">
        <v>1744</v>
      </c>
      <c r="B1746" s="2" t="str">
        <f>"35932021121012070466579"</f>
        <v>35932021121012070466579</v>
      </c>
      <c r="C1746" s="2" t="s">
        <v>11</v>
      </c>
      <c r="D1746" s="2" t="str">
        <f>"吴晶晶"</f>
        <v>吴晶晶</v>
      </c>
      <c r="E1746" s="2" t="str">
        <f>"女"</f>
        <v>女</v>
      </c>
    </row>
    <row r="1747" spans="1:5" s="1" customFormat="1" ht="34.5" customHeight="1">
      <c r="A1747" s="2">
        <v>1745</v>
      </c>
      <c r="B1747" s="2" t="str">
        <f>"35932021121012354066585"</f>
        <v>35932021121012354066585</v>
      </c>
      <c r="C1747" s="2" t="s">
        <v>11</v>
      </c>
      <c r="D1747" s="2" t="str">
        <f>"洪瑜"</f>
        <v>洪瑜</v>
      </c>
      <c r="E1747" s="2" t="str">
        <f>"男"</f>
        <v>男</v>
      </c>
    </row>
    <row r="1748" spans="1:5" s="1" customFormat="1" ht="34.5" customHeight="1">
      <c r="A1748" s="2">
        <v>1746</v>
      </c>
      <c r="B1748" s="2" t="str">
        <f>"35932021121014555966616"</f>
        <v>35932021121014555966616</v>
      </c>
      <c r="C1748" s="2" t="s">
        <v>11</v>
      </c>
      <c r="D1748" s="2" t="str">
        <f>"雷静文"</f>
        <v>雷静文</v>
      </c>
      <c r="E1748" s="2" t="str">
        <f>"女"</f>
        <v>女</v>
      </c>
    </row>
    <row r="1749" spans="1:5" s="1" customFormat="1" ht="34.5" customHeight="1">
      <c r="A1749" s="2">
        <v>1747</v>
      </c>
      <c r="B1749" s="2" t="str">
        <f>"35932021121015570666635"</f>
        <v>35932021121015570666635</v>
      </c>
      <c r="C1749" s="2" t="s">
        <v>11</v>
      </c>
      <c r="D1749" s="2" t="str">
        <f>"杨静"</f>
        <v>杨静</v>
      </c>
      <c r="E1749" s="2" t="str">
        <f>"女"</f>
        <v>女</v>
      </c>
    </row>
    <row r="1750" spans="1:5" s="1" customFormat="1" ht="34.5" customHeight="1">
      <c r="A1750" s="2">
        <v>1748</v>
      </c>
      <c r="B1750" s="2" t="str">
        <f>"35932021121016210666642"</f>
        <v>35932021121016210666642</v>
      </c>
      <c r="C1750" s="2" t="s">
        <v>11</v>
      </c>
      <c r="D1750" s="2" t="str">
        <f>"许林梦"</f>
        <v>许林梦</v>
      </c>
      <c r="E1750" s="2" t="str">
        <f>"女"</f>
        <v>女</v>
      </c>
    </row>
    <row r="1751" spans="1:5" s="1" customFormat="1" ht="34.5" customHeight="1">
      <c r="A1751" s="2">
        <v>1749</v>
      </c>
      <c r="B1751" s="2" t="str">
        <f>"35932021121016283866645"</f>
        <v>35932021121016283866645</v>
      </c>
      <c r="C1751" s="2" t="s">
        <v>11</v>
      </c>
      <c r="D1751" s="2" t="str">
        <f>"吴承泽"</f>
        <v>吴承泽</v>
      </c>
      <c r="E1751" s="2" t="str">
        <f>"男"</f>
        <v>男</v>
      </c>
    </row>
    <row r="1752" spans="1:5" s="1" customFormat="1" ht="34.5" customHeight="1">
      <c r="A1752" s="2">
        <v>1750</v>
      </c>
      <c r="B1752" s="2" t="str">
        <f>"35932021121017553566676"</f>
        <v>35932021121017553566676</v>
      </c>
      <c r="C1752" s="2" t="s">
        <v>11</v>
      </c>
      <c r="D1752" s="2" t="str">
        <f>"王恒"</f>
        <v>王恒</v>
      </c>
      <c r="E1752" s="2" t="str">
        <f>"男"</f>
        <v>男</v>
      </c>
    </row>
    <row r="1753" spans="1:5" s="1" customFormat="1" ht="34.5" customHeight="1">
      <c r="A1753" s="2">
        <v>1751</v>
      </c>
      <c r="B1753" s="2" t="str">
        <f>"35932021121111151266761"</f>
        <v>35932021121111151266761</v>
      </c>
      <c r="C1753" s="2" t="s">
        <v>11</v>
      </c>
      <c r="D1753" s="2" t="str">
        <f>"郭苗苗"</f>
        <v>郭苗苗</v>
      </c>
      <c r="E1753" s="2" t="str">
        <f>"女"</f>
        <v>女</v>
      </c>
    </row>
    <row r="1754" spans="1:5" s="1" customFormat="1" ht="34.5" customHeight="1">
      <c r="A1754" s="2">
        <v>1752</v>
      </c>
      <c r="B1754" s="2" t="str">
        <f>"35932021121111553166767"</f>
        <v>35932021121111553166767</v>
      </c>
      <c r="C1754" s="2" t="s">
        <v>11</v>
      </c>
      <c r="D1754" s="2" t="str">
        <f>"史晏如"</f>
        <v>史晏如</v>
      </c>
      <c r="E1754" s="2" t="str">
        <f>"女"</f>
        <v>女</v>
      </c>
    </row>
    <row r="1755" spans="1:5" s="1" customFormat="1" ht="34.5" customHeight="1">
      <c r="A1755" s="2">
        <v>1753</v>
      </c>
      <c r="B1755" s="2" t="str">
        <f>"35932021121112423466773"</f>
        <v>35932021121112423466773</v>
      </c>
      <c r="C1755" s="2" t="s">
        <v>11</v>
      </c>
      <c r="D1755" s="2" t="str">
        <f>"符晶晶"</f>
        <v>符晶晶</v>
      </c>
      <c r="E1755" s="2" t="str">
        <f>"女"</f>
        <v>女</v>
      </c>
    </row>
    <row r="1756" spans="1:5" s="1" customFormat="1" ht="34.5" customHeight="1">
      <c r="A1756" s="2">
        <v>1754</v>
      </c>
      <c r="B1756" s="2" t="str">
        <f>"35932021121112583866776"</f>
        <v>35932021121112583866776</v>
      </c>
      <c r="C1756" s="2" t="s">
        <v>11</v>
      </c>
      <c r="D1756" s="2" t="str">
        <f>"骆晓佳"</f>
        <v>骆晓佳</v>
      </c>
      <c r="E1756" s="2" t="str">
        <f>"女"</f>
        <v>女</v>
      </c>
    </row>
    <row r="1757" spans="1:5" s="1" customFormat="1" ht="34.5" customHeight="1">
      <c r="A1757" s="2">
        <v>1755</v>
      </c>
      <c r="B1757" s="2" t="str">
        <f>"35932021121115420466798"</f>
        <v>35932021121115420466798</v>
      </c>
      <c r="C1757" s="2" t="s">
        <v>11</v>
      </c>
      <c r="D1757" s="2" t="str">
        <f>"吴童"</f>
        <v>吴童</v>
      </c>
      <c r="E1757" s="2" t="str">
        <f>"女"</f>
        <v>女</v>
      </c>
    </row>
    <row r="1758" spans="1:5" s="1" customFormat="1" ht="34.5" customHeight="1">
      <c r="A1758" s="2">
        <v>1756</v>
      </c>
      <c r="B1758" s="2" t="str">
        <f>"35932021121121343166857"</f>
        <v>35932021121121343166857</v>
      </c>
      <c r="C1758" s="2" t="s">
        <v>11</v>
      </c>
      <c r="D1758" s="2" t="str">
        <f>"吉训垂"</f>
        <v>吉训垂</v>
      </c>
      <c r="E1758" s="2" t="str">
        <f>"男"</f>
        <v>男</v>
      </c>
    </row>
    <row r="1759" spans="1:5" s="1" customFormat="1" ht="34.5" customHeight="1">
      <c r="A1759" s="2">
        <v>1757</v>
      </c>
      <c r="B1759" s="2" t="str">
        <f>"35932021121121575166866"</f>
        <v>35932021121121575166866</v>
      </c>
      <c r="C1759" s="2" t="s">
        <v>11</v>
      </c>
      <c r="D1759" s="2" t="str">
        <f>"庹姣姣"</f>
        <v>庹姣姣</v>
      </c>
      <c r="E1759" s="2" t="str">
        <f>"女"</f>
        <v>女</v>
      </c>
    </row>
    <row r="1760" spans="1:5" s="1" customFormat="1" ht="34.5" customHeight="1">
      <c r="A1760" s="2">
        <v>1758</v>
      </c>
      <c r="B1760" s="2" t="str">
        <f>"35932021121208274866885"</f>
        <v>35932021121208274866885</v>
      </c>
      <c r="C1760" s="2" t="s">
        <v>11</v>
      </c>
      <c r="D1760" s="2" t="str">
        <f>"王城丽"</f>
        <v>王城丽</v>
      </c>
      <c r="E1760" s="2" t="str">
        <f>"女"</f>
        <v>女</v>
      </c>
    </row>
    <row r="1761" spans="1:5" s="1" customFormat="1" ht="34.5" customHeight="1">
      <c r="A1761" s="2">
        <v>1759</v>
      </c>
      <c r="B1761" s="2" t="str">
        <f>"35932021121212142866922"</f>
        <v>35932021121212142866922</v>
      </c>
      <c r="C1761" s="2" t="s">
        <v>11</v>
      </c>
      <c r="D1761" s="2" t="str">
        <f>"周会聪"</f>
        <v>周会聪</v>
      </c>
      <c r="E1761" s="2" t="str">
        <f>"男"</f>
        <v>男</v>
      </c>
    </row>
    <row r="1762" spans="1:5" s="1" customFormat="1" ht="34.5" customHeight="1">
      <c r="A1762" s="2">
        <v>1760</v>
      </c>
      <c r="B1762" s="2" t="str">
        <f>"35932021121212291266927"</f>
        <v>35932021121212291266927</v>
      </c>
      <c r="C1762" s="2" t="s">
        <v>11</v>
      </c>
      <c r="D1762" s="2" t="str">
        <f>"赖林欣"</f>
        <v>赖林欣</v>
      </c>
      <c r="E1762" s="2" t="str">
        <f>"女"</f>
        <v>女</v>
      </c>
    </row>
    <row r="1763" spans="1:5" s="1" customFormat="1" ht="34.5" customHeight="1">
      <c r="A1763" s="2">
        <v>1761</v>
      </c>
      <c r="B1763" s="2" t="str">
        <f>"35932021121213093966931"</f>
        <v>35932021121213093966931</v>
      </c>
      <c r="C1763" s="2" t="s">
        <v>11</v>
      </c>
      <c r="D1763" s="2" t="str">
        <f>"林丽清"</f>
        <v>林丽清</v>
      </c>
      <c r="E1763" s="2" t="str">
        <f>"女"</f>
        <v>女</v>
      </c>
    </row>
    <row r="1764" spans="1:5" s="1" customFormat="1" ht="34.5" customHeight="1">
      <c r="A1764" s="2">
        <v>1762</v>
      </c>
      <c r="B1764" s="2" t="str">
        <f>"35932021121218123966988"</f>
        <v>35932021121218123966988</v>
      </c>
      <c r="C1764" s="2" t="s">
        <v>11</v>
      </c>
      <c r="D1764" s="2" t="str">
        <f>"金明"</f>
        <v>金明</v>
      </c>
      <c r="E1764" s="2" t="str">
        <f>"男"</f>
        <v>男</v>
      </c>
    </row>
    <row r="1765" spans="1:5" s="1" customFormat="1" ht="34.5" customHeight="1">
      <c r="A1765" s="2">
        <v>1763</v>
      </c>
      <c r="B1765" s="2" t="str">
        <f>"35932021121218184966989"</f>
        <v>35932021121218184966989</v>
      </c>
      <c r="C1765" s="2" t="s">
        <v>11</v>
      </c>
      <c r="D1765" s="2" t="str">
        <f>"曾德蕾"</f>
        <v>曾德蕾</v>
      </c>
      <c r="E1765" s="2" t="str">
        <f>"女"</f>
        <v>女</v>
      </c>
    </row>
    <row r="1766" spans="1:5" s="1" customFormat="1" ht="34.5" customHeight="1">
      <c r="A1766" s="2">
        <v>1764</v>
      </c>
      <c r="B1766" s="2" t="str">
        <f>"35932021121220511067016"</f>
        <v>35932021121220511067016</v>
      </c>
      <c r="C1766" s="2" t="s">
        <v>11</v>
      </c>
      <c r="D1766" s="2" t="str">
        <f>"陈承富"</f>
        <v>陈承富</v>
      </c>
      <c r="E1766" s="2" t="str">
        <f>"男"</f>
        <v>男</v>
      </c>
    </row>
    <row r="1767" spans="1:5" s="1" customFormat="1" ht="34.5" customHeight="1">
      <c r="A1767" s="2">
        <v>1765</v>
      </c>
      <c r="B1767" s="2" t="str">
        <f>"35932021121222332967037"</f>
        <v>35932021121222332967037</v>
      </c>
      <c r="C1767" s="2" t="s">
        <v>11</v>
      </c>
      <c r="D1767" s="2" t="str">
        <f>"李香莲"</f>
        <v>李香莲</v>
      </c>
      <c r="E1767" s="2" t="str">
        <f>"女"</f>
        <v>女</v>
      </c>
    </row>
    <row r="1768" spans="1:5" s="1" customFormat="1" ht="34.5" customHeight="1">
      <c r="A1768" s="2">
        <v>1766</v>
      </c>
      <c r="B1768" s="2" t="str">
        <f>"35932021121309041167077"</f>
        <v>35932021121309041167077</v>
      </c>
      <c r="C1768" s="2" t="s">
        <v>11</v>
      </c>
      <c r="D1768" s="2" t="str">
        <f>"李畅青"</f>
        <v>李畅青</v>
      </c>
      <c r="E1768" s="2" t="str">
        <f>"男"</f>
        <v>男</v>
      </c>
    </row>
    <row r="1769" spans="1:5" s="1" customFormat="1" ht="34.5" customHeight="1">
      <c r="A1769" s="2">
        <v>1767</v>
      </c>
      <c r="B1769" s="2" t="str">
        <f>"35932021121309470367094"</f>
        <v>35932021121309470367094</v>
      </c>
      <c r="C1769" s="2" t="s">
        <v>11</v>
      </c>
      <c r="D1769" s="2" t="str">
        <f>"颜圆"</f>
        <v>颜圆</v>
      </c>
      <c r="E1769" s="2" t="str">
        <f>"女"</f>
        <v>女</v>
      </c>
    </row>
    <row r="1770" spans="1:5" s="1" customFormat="1" ht="34.5" customHeight="1">
      <c r="A1770" s="2">
        <v>1768</v>
      </c>
      <c r="B1770" s="2" t="str">
        <f>"35932021121310482967121"</f>
        <v>35932021121310482967121</v>
      </c>
      <c r="C1770" s="2" t="s">
        <v>11</v>
      </c>
      <c r="D1770" s="2" t="str">
        <f>"杨文钰"</f>
        <v>杨文钰</v>
      </c>
      <c r="E1770" s="2" t="str">
        <f>"女"</f>
        <v>女</v>
      </c>
    </row>
    <row r="1771" spans="1:5" s="1" customFormat="1" ht="34.5" customHeight="1">
      <c r="A1771" s="2">
        <v>1769</v>
      </c>
      <c r="B1771" s="2" t="str">
        <f>"35932021121312113567145"</f>
        <v>35932021121312113567145</v>
      </c>
      <c r="C1771" s="2" t="s">
        <v>11</v>
      </c>
      <c r="D1771" s="2" t="str">
        <f>"王思琦"</f>
        <v>王思琦</v>
      </c>
      <c r="E1771" s="2" t="str">
        <f>"女"</f>
        <v>女</v>
      </c>
    </row>
    <row r="1772" spans="1:5" s="1" customFormat="1" ht="34.5" customHeight="1">
      <c r="A1772" s="2">
        <v>1770</v>
      </c>
      <c r="B1772" s="2" t="str">
        <f>"35932021121312441967157"</f>
        <v>35932021121312441967157</v>
      </c>
      <c r="C1772" s="2" t="s">
        <v>11</v>
      </c>
      <c r="D1772" s="2" t="str">
        <f>"吴华铭"</f>
        <v>吴华铭</v>
      </c>
      <c r="E1772" s="2" t="str">
        <f>"男"</f>
        <v>男</v>
      </c>
    </row>
    <row r="1773" spans="1:5" s="1" customFormat="1" ht="34.5" customHeight="1">
      <c r="A1773" s="2">
        <v>1771</v>
      </c>
      <c r="B1773" s="2" t="str">
        <f>"35932021121312591067163"</f>
        <v>35932021121312591067163</v>
      </c>
      <c r="C1773" s="2" t="s">
        <v>11</v>
      </c>
      <c r="D1773" s="2" t="str">
        <f>"姚欣玫"</f>
        <v>姚欣玫</v>
      </c>
      <c r="E1773" s="2" t="str">
        <f>"女"</f>
        <v>女</v>
      </c>
    </row>
    <row r="1774" spans="1:5" s="1" customFormat="1" ht="34.5" customHeight="1">
      <c r="A1774" s="2">
        <v>1772</v>
      </c>
      <c r="B1774" s="2" t="str">
        <f>"35932021121314223167181"</f>
        <v>35932021121314223167181</v>
      </c>
      <c r="C1774" s="2" t="s">
        <v>11</v>
      </c>
      <c r="D1774" s="2" t="str">
        <f>"李燕燕"</f>
        <v>李燕燕</v>
      </c>
      <c r="E1774" s="2" t="str">
        <f>"女"</f>
        <v>女</v>
      </c>
    </row>
    <row r="1775" spans="1:5" s="1" customFormat="1" ht="34.5" customHeight="1">
      <c r="A1775" s="2">
        <v>1773</v>
      </c>
      <c r="B1775" s="2" t="str">
        <f>"35932021121314554167193"</f>
        <v>35932021121314554167193</v>
      </c>
      <c r="C1775" s="2" t="s">
        <v>11</v>
      </c>
      <c r="D1775" s="2" t="str">
        <f>"梁源"</f>
        <v>梁源</v>
      </c>
      <c r="E1775" s="2" t="str">
        <f>"男"</f>
        <v>男</v>
      </c>
    </row>
    <row r="1776" spans="1:5" s="1" customFormat="1" ht="34.5" customHeight="1">
      <c r="A1776" s="2">
        <v>1774</v>
      </c>
      <c r="B1776" s="2" t="str">
        <f>"35932021121315303667208"</f>
        <v>35932021121315303667208</v>
      </c>
      <c r="C1776" s="2" t="s">
        <v>11</v>
      </c>
      <c r="D1776" s="2" t="str">
        <f>"吴宏健"</f>
        <v>吴宏健</v>
      </c>
      <c r="E1776" s="2" t="str">
        <f>"男"</f>
        <v>男</v>
      </c>
    </row>
    <row r="1777" spans="1:5" s="1" customFormat="1" ht="34.5" customHeight="1">
      <c r="A1777" s="2">
        <v>1775</v>
      </c>
      <c r="B1777" s="2" t="str">
        <f>"35932021121319035667272"</f>
        <v>35932021121319035667272</v>
      </c>
      <c r="C1777" s="2" t="s">
        <v>11</v>
      </c>
      <c r="D1777" s="2" t="str">
        <f>"王薇"</f>
        <v>王薇</v>
      </c>
      <c r="E1777" s="2" t="str">
        <f>"女"</f>
        <v>女</v>
      </c>
    </row>
    <row r="1778" spans="1:5" s="1" customFormat="1" ht="34.5" customHeight="1">
      <c r="A1778" s="2">
        <v>1776</v>
      </c>
      <c r="B1778" s="2" t="str">
        <f>"35932021121320101867286"</f>
        <v>35932021121320101867286</v>
      </c>
      <c r="C1778" s="2" t="s">
        <v>11</v>
      </c>
      <c r="D1778" s="2" t="str">
        <f>"王惠妮"</f>
        <v>王惠妮</v>
      </c>
      <c r="E1778" s="2" t="str">
        <f>"女"</f>
        <v>女</v>
      </c>
    </row>
    <row r="1779" spans="1:5" s="1" customFormat="1" ht="34.5" customHeight="1">
      <c r="A1779" s="2">
        <v>1777</v>
      </c>
      <c r="B1779" s="2" t="str">
        <f>"35932021121321024267306"</f>
        <v>35932021121321024267306</v>
      </c>
      <c r="C1779" s="2" t="s">
        <v>11</v>
      </c>
      <c r="D1779" s="2" t="str">
        <f>"蒋德民"</f>
        <v>蒋德民</v>
      </c>
      <c r="E1779" s="2" t="str">
        <f>"男"</f>
        <v>男</v>
      </c>
    </row>
    <row r="1780" spans="1:5" s="1" customFormat="1" ht="34.5" customHeight="1">
      <c r="A1780" s="2">
        <v>1778</v>
      </c>
      <c r="B1780" s="2" t="str">
        <f>"35932021121323461567341"</f>
        <v>35932021121323461567341</v>
      </c>
      <c r="C1780" s="2" t="s">
        <v>11</v>
      </c>
      <c r="D1780" s="2" t="str">
        <f>"颜子杰"</f>
        <v>颜子杰</v>
      </c>
      <c r="E1780" s="2" t="str">
        <f>"男"</f>
        <v>男</v>
      </c>
    </row>
    <row r="1781" spans="1:5" s="1" customFormat="1" ht="34.5" customHeight="1">
      <c r="A1781" s="2">
        <v>1779</v>
      </c>
      <c r="B1781" s="2" t="str">
        <f>"35932021121401024567345"</f>
        <v>35932021121401024567345</v>
      </c>
      <c r="C1781" s="2" t="s">
        <v>11</v>
      </c>
      <c r="D1781" s="2" t="str">
        <f>"陈梓锋"</f>
        <v>陈梓锋</v>
      </c>
      <c r="E1781" s="2" t="str">
        <f>"男"</f>
        <v>男</v>
      </c>
    </row>
    <row r="1782" spans="1:5" s="1" customFormat="1" ht="34.5" customHeight="1">
      <c r="A1782" s="2">
        <v>1780</v>
      </c>
      <c r="B1782" s="2" t="str">
        <f>"35932021121409343267364"</f>
        <v>35932021121409343267364</v>
      </c>
      <c r="C1782" s="2" t="s">
        <v>11</v>
      </c>
      <c r="D1782" s="2" t="str">
        <f>"黎蓉娇"</f>
        <v>黎蓉娇</v>
      </c>
      <c r="E1782" s="2" t="str">
        <f>"女"</f>
        <v>女</v>
      </c>
    </row>
    <row r="1783" spans="1:5" s="1" customFormat="1" ht="34.5" customHeight="1">
      <c r="A1783" s="2">
        <v>1781</v>
      </c>
      <c r="B1783" s="2" t="str">
        <f>"35932021121410343267383"</f>
        <v>35932021121410343267383</v>
      </c>
      <c r="C1783" s="2" t="s">
        <v>11</v>
      </c>
      <c r="D1783" s="2" t="str">
        <f>"叶嘉蔚"</f>
        <v>叶嘉蔚</v>
      </c>
      <c r="E1783" s="2" t="str">
        <f>"女"</f>
        <v>女</v>
      </c>
    </row>
    <row r="1784" spans="1:5" s="1" customFormat="1" ht="34.5" customHeight="1">
      <c r="A1784" s="2">
        <v>1782</v>
      </c>
      <c r="B1784" s="2" t="str">
        <f>"35932021121412282867414"</f>
        <v>35932021121412282867414</v>
      </c>
      <c r="C1784" s="2" t="s">
        <v>11</v>
      </c>
      <c r="D1784" s="2" t="str">
        <f>"王蔚"</f>
        <v>王蔚</v>
      </c>
      <c r="E1784" s="2" t="str">
        <f>"女"</f>
        <v>女</v>
      </c>
    </row>
    <row r="1785" spans="1:5" s="1" customFormat="1" ht="34.5" customHeight="1">
      <c r="A1785" s="2">
        <v>1783</v>
      </c>
      <c r="B1785" s="2" t="str">
        <f>"35932021121414372667431"</f>
        <v>35932021121414372667431</v>
      </c>
      <c r="C1785" s="2" t="s">
        <v>11</v>
      </c>
      <c r="D1785" s="2" t="str">
        <f>"符朝色"</f>
        <v>符朝色</v>
      </c>
      <c r="E1785" s="2" t="str">
        <f>"男"</f>
        <v>男</v>
      </c>
    </row>
    <row r="1786" spans="1:5" s="1" customFormat="1" ht="34.5" customHeight="1">
      <c r="A1786" s="2">
        <v>1784</v>
      </c>
      <c r="B1786" s="2" t="str">
        <f>"35932021121414463867432"</f>
        <v>35932021121414463867432</v>
      </c>
      <c r="C1786" s="2" t="s">
        <v>11</v>
      </c>
      <c r="D1786" s="2" t="str">
        <f>"石挺霞"</f>
        <v>石挺霞</v>
      </c>
      <c r="E1786" s="2" t="str">
        <f>"女"</f>
        <v>女</v>
      </c>
    </row>
    <row r="1787" spans="1:5" s="1" customFormat="1" ht="34.5" customHeight="1">
      <c r="A1787" s="2">
        <v>1785</v>
      </c>
      <c r="B1787" s="2" t="str">
        <f>"35932021121415204367444"</f>
        <v>35932021121415204367444</v>
      </c>
      <c r="C1787" s="2" t="s">
        <v>11</v>
      </c>
      <c r="D1787" s="2" t="str">
        <f>"邢峰"</f>
        <v>邢峰</v>
      </c>
      <c r="E1787" s="2" t="str">
        <f>"男"</f>
        <v>男</v>
      </c>
    </row>
    <row r="1788" spans="1:5" s="1" customFormat="1" ht="34.5" customHeight="1">
      <c r="A1788" s="2">
        <v>1786</v>
      </c>
      <c r="B1788" s="2" t="str">
        <f>"35932021121418373167490"</f>
        <v>35932021121418373167490</v>
      </c>
      <c r="C1788" s="2" t="s">
        <v>11</v>
      </c>
      <c r="D1788" s="2" t="str">
        <f>"吴安琪"</f>
        <v>吴安琪</v>
      </c>
      <c r="E1788" s="2" t="str">
        <f>"女"</f>
        <v>女</v>
      </c>
    </row>
    <row r="1789" spans="1:5" s="1" customFormat="1" ht="34.5" customHeight="1">
      <c r="A1789" s="2">
        <v>1787</v>
      </c>
      <c r="B1789" s="2" t="str">
        <f>"35932021121421251667523"</f>
        <v>35932021121421251667523</v>
      </c>
      <c r="C1789" s="2" t="s">
        <v>11</v>
      </c>
      <c r="D1789" s="2" t="str">
        <f>"林浩"</f>
        <v>林浩</v>
      </c>
      <c r="E1789" s="2" t="str">
        <f>"男"</f>
        <v>男</v>
      </c>
    </row>
    <row r="1790" spans="1:5" s="1" customFormat="1" ht="34.5" customHeight="1">
      <c r="A1790" s="2">
        <v>1788</v>
      </c>
      <c r="B1790" s="2" t="str">
        <f>"35932021121511032767602"</f>
        <v>35932021121511032767602</v>
      </c>
      <c r="C1790" s="2" t="s">
        <v>11</v>
      </c>
      <c r="D1790" s="2" t="str">
        <f>"李文静"</f>
        <v>李文静</v>
      </c>
      <c r="E1790" s="2" t="str">
        <f>"女"</f>
        <v>女</v>
      </c>
    </row>
    <row r="1791" spans="1:5" s="1" customFormat="1" ht="34.5" customHeight="1">
      <c r="A1791" s="2">
        <v>1789</v>
      </c>
      <c r="B1791" s="2" t="str">
        <f>"35932021121511223067604"</f>
        <v>35932021121511223067604</v>
      </c>
      <c r="C1791" s="2" t="s">
        <v>11</v>
      </c>
      <c r="D1791" s="2" t="str">
        <f>"林慧"</f>
        <v>林慧</v>
      </c>
      <c r="E1791" s="2" t="str">
        <f>"女"</f>
        <v>女</v>
      </c>
    </row>
    <row r="1792" spans="1:5" s="1" customFormat="1" ht="34.5" customHeight="1">
      <c r="A1792" s="2">
        <v>1790</v>
      </c>
      <c r="B1792" s="2" t="str">
        <f>"35932021121512502767616"</f>
        <v>35932021121512502767616</v>
      </c>
      <c r="C1792" s="2" t="s">
        <v>11</v>
      </c>
      <c r="D1792" s="2" t="str">
        <f>"吴忠健"</f>
        <v>吴忠健</v>
      </c>
      <c r="E1792" s="2" t="str">
        <f>"男"</f>
        <v>男</v>
      </c>
    </row>
    <row r="1793" spans="1:5" s="1" customFormat="1" ht="34.5" customHeight="1">
      <c r="A1793" s="2">
        <v>1791</v>
      </c>
      <c r="B1793" s="2" t="str">
        <f>"35932021121513042367618"</f>
        <v>35932021121513042367618</v>
      </c>
      <c r="C1793" s="2" t="s">
        <v>11</v>
      </c>
      <c r="D1793" s="2" t="str">
        <f>"王芯如"</f>
        <v>王芯如</v>
      </c>
      <c r="E1793" s="2" t="str">
        <f>"女"</f>
        <v>女</v>
      </c>
    </row>
    <row r="1794" spans="1:5" s="1" customFormat="1" ht="34.5" customHeight="1">
      <c r="A1794" s="2">
        <v>1792</v>
      </c>
      <c r="B1794" s="2" t="str">
        <f>"35932021121513350067622"</f>
        <v>35932021121513350067622</v>
      </c>
      <c r="C1794" s="2" t="s">
        <v>11</v>
      </c>
      <c r="D1794" s="2" t="str">
        <f>"王大迈"</f>
        <v>王大迈</v>
      </c>
      <c r="E1794" s="2" t="str">
        <f>"男"</f>
        <v>男</v>
      </c>
    </row>
    <row r="1795" spans="1:5" s="1" customFormat="1" ht="34.5" customHeight="1">
      <c r="A1795" s="2">
        <v>1793</v>
      </c>
      <c r="B1795" s="2" t="str">
        <f>"35932021121517363967675"</f>
        <v>35932021121517363967675</v>
      </c>
      <c r="C1795" s="2" t="s">
        <v>11</v>
      </c>
      <c r="D1795" s="2" t="str">
        <f>"梁林"</f>
        <v>梁林</v>
      </c>
      <c r="E1795" s="2" t="str">
        <f>"男"</f>
        <v>男</v>
      </c>
    </row>
    <row r="1796" spans="1:5" s="1" customFormat="1" ht="34.5" customHeight="1">
      <c r="A1796" s="2">
        <v>1794</v>
      </c>
      <c r="B1796" s="2" t="str">
        <f>"35932021121520063767707"</f>
        <v>35932021121520063767707</v>
      </c>
      <c r="C1796" s="2" t="s">
        <v>11</v>
      </c>
      <c r="D1796" s="2" t="str">
        <f>"孙伟峻"</f>
        <v>孙伟峻</v>
      </c>
      <c r="E1796" s="2" t="str">
        <f>"男"</f>
        <v>男</v>
      </c>
    </row>
    <row r="1797" spans="1:5" s="1" customFormat="1" ht="34.5" customHeight="1">
      <c r="A1797" s="2">
        <v>1795</v>
      </c>
      <c r="B1797" s="2" t="str">
        <f>"35932021121521482167734"</f>
        <v>35932021121521482167734</v>
      </c>
      <c r="C1797" s="2" t="s">
        <v>11</v>
      </c>
      <c r="D1797" s="2" t="str">
        <f>"郭金美"</f>
        <v>郭金美</v>
      </c>
      <c r="E1797" s="2" t="str">
        <f>"女"</f>
        <v>女</v>
      </c>
    </row>
    <row r="1798" spans="1:5" s="1" customFormat="1" ht="34.5" customHeight="1">
      <c r="A1798" s="2">
        <v>1796</v>
      </c>
      <c r="B1798" s="2" t="str">
        <f>"35932021121600103067759"</f>
        <v>35932021121600103067759</v>
      </c>
      <c r="C1798" s="2" t="s">
        <v>11</v>
      </c>
      <c r="D1798" s="2" t="str">
        <f>"邱勃淳"</f>
        <v>邱勃淳</v>
      </c>
      <c r="E1798" s="2" t="str">
        <f>"男"</f>
        <v>男</v>
      </c>
    </row>
    <row r="1799" spans="1:5" s="1" customFormat="1" ht="34.5" customHeight="1">
      <c r="A1799" s="2">
        <v>1797</v>
      </c>
      <c r="B1799" s="2" t="str">
        <f>"35932021121610591967792"</f>
        <v>35932021121610591967792</v>
      </c>
      <c r="C1799" s="2" t="s">
        <v>11</v>
      </c>
      <c r="D1799" s="2" t="str">
        <f>"刘扬燕"</f>
        <v>刘扬燕</v>
      </c>
      <c r="E1799" s="2" t="str">
        <f>"女"</f>
        <v>女</v>
      </c>
    </row>
    <row r="1800" spans="1:5" s="1" customFormat="1" ht="34.5" customHeight="1">
      <c r="A1800" s="2">
        <v>1798</v>
      </c>
      <c r="B1800" s="2" t="str">
        <f>"35932021121611203667799"</f>
        <v>35932021121611203667799</v>
      </c>
      <c r="C1800" s="2" t="s">
        <v>11</v>
      </c>
      <c r="D1800" s="2" t="str">
        <f>"尚蒙"</f>
        <v>尚蒙</v>
      </c>
      <c r="E1800" s="2" t="str">
        <f>"女"</f>
        <v>女</v>
      </c>
    </row>
    <row r="1801" spans="1:5" s="1" customFormat="1" ht="34.5" customHeight="1">
      <c r="A1801" s="2">
        <v>1799</v>
      </c>
      <c r="B1801" s="2" t="str">
        <f>"35932021121611402767810"</f>
        <v>35932021121611402767810</v>
      </c>
      <c r="C1801" s="2" t="s">
        <v>11</v>
      </c>
      <c r="D1801" s="2" t="str">
        <f>"陈明莹"</f>
        <v>陈明莹</v>
      </c>
      <c r="E1801" s="2" t="str">
        <f>"女"</f>
        <v>女</v>
      </c>
    </row>
    <row r="1802" spans="1:5" s="1" customFormat="1" ht="34.5" customHeight="1">
      <c r="A1802" s="2">
        <v>1800</v>
      </c>
      <c r="B1802" s="2" t="str">
        <f>"35932021121614100467838"</f>
        <v>35932021121614100467838</v>
      </c>
      <c r="C1802" s="2" t="s">
        <v>11</v>
      </c>
      <c r="D1802" s="2" t="str">
        <f>"左芳仪"</f>
        <v>左芳仪</v>
      </c>
      <c r="E1802" s="2" t="str">
        <f>"女"</f>
        <v>女</v>
      </c>
    </row>
    <row r="1803" spans="1:5" s="1" customFormat="1" ht="34.5" customHeight="1">
      <c r="A1803" s="2">
        <v>1801</v>
      </c>
      <c r="B1803" s="2" t="str">
        <f>"35932021121616074367849"</f>
        <v>35932021121616074367849</v>
      </c>
      <c r="C1803" s="2" t="s">
        <v>11</v>
      </c>
      <c r="D1803" s="2" t="str">
        <f>"郭廉升"</f>
        <v>郭廉升</v>
      </c>
      <c r="E1803" s="2" t="str">
        <f>"男"</f>
        <v>男</v>
      </c>
    </row>
    <row r="1804" spans="1:5" s="1" customFormat="1" ht="34.5" customHeight="1">
      <c r="A1804" s="2">
        <v>1802</v>
      </c>
      <c r="B1804" s="2" t="str">
        <f>"35932021121616540767856"</f>
        <v>35932021121616540767856</v>
      </c>
      <c r="C1804" s="2" t="s">
        <v>11</v>
      </c>
      <c r="D1804" s="2" t="str">
        <f>"张瑞轩"</f>
        <v>张瑞轩</v>
      </c>
      <c r="E1804" s="2" t="str">
        <f>"男"</f>
        <v>男</v>
      </c>
    </row>
    <row r="1805" spans="1:5" s="1" customFormat="1" ht="34.5" customHeight="1">
      <c r="A1805" s="2">
        <v>1803</v>
      </c>
      <c r="B1805" s="2" t="str">
        <f>"35932021121621370667895"</f>
        <v>35932021121621370667895</v>
      </c>
      <c r="C1805" s="2" t="s">
        <v>11</v>
      </c>
      <c r="D1805" s="2" t="str">
        <f>"何嘉玲"</f>
        <v>何嘉玲</v>
      </c>
      <c r="E1805" s="2" t="str">
        <f>"女"</f>
        <v>女</v>
      </c>
    </row>
    <row r="1806" spans="1:5" s="1" customFormat="1" ht="34.5" customHeight="1">
      <c r="A1806" s="2">
        <v>1804</v>
      </c>
      <c r="B1806" s="2" t="str">
        <f>"35932021121621392867896"</f>
        <v>35932021121621392867896</v>
      </c>
      <c r="C1806" s="2" t="s">
        <v>11</v>
      </c>
      <c r="D1806" s="2" t="str">
        <f>"陈智文"</f>
        <v>陈智文</v>
      </c>
      <c r="E1806" s="2" t="str">
        <f>"男"</f>
        <v>男</v>
      </c>
    </row>
    <row r="1807" spans="1:5" s="1" customFormat="1" ht="34.5" customHeight="1">
      <c r="A1807" s="2">
        <v>1805</v>
      </c>
      <c r="B1807" s="2" t="str">
        <f>"35932021121622403967908"</f>
        <v>35932021121622403967908</v>
      </c>
      <c r="C1807" s="2" t="s">
        <v>11</v>
      </c>
      <c r="D1807" s="2" t="str">
        <f>"赵鑫鑫"</f>
        <v>赵鑫鑫</v>
      </c>
      <c r="E1807" s="2" t="str">
        <f>"女"</f>
        <v>女</v>
      </c>
    </row>
    <row r="1808" spans="1:5" s="1" customFormat="1" ht="34.5" customHeight="1">
      <c r="A1808" s="2">
        <v>1806</v>
      </c>
      <c r="B1808" s="2" t="str">
        <f>"35932021121623252267914"</f>
        <v>35932021121623252267914</v>
      </c>
      <c r="C1808" s="2" t="s">
        <v>11</v>
      </c>
      <c r="D1808" s="2" t="str">
        <f>"吴钟武"</f>
        <v>吴钟武</v>
      </c>
      <c r="E1808" s="2" t="str">
        <f>"男"</f>
        <v>男</v>
      </c>
    </row>
    <row r="1809" spans="1:5" s="1" customFormat="1" ht="34.5" customHeight="1">
      <c r="A1809" s="2">
        <v>1807</v>
      </c>
      <c r="B1809" s="2" t="str">
        <f>"35932021121708044567920"</f>
        <v>35932021121708044567920</v>
      </c>
      <c r="C1809" s="2" t="s">
        <v>11</v>
      </c>
      <c r="D1809" s="2" t="str">
        <f>"赵开源"</f>
        <v>赵开源</v>
      </c>
      <c r="E1809" s="2" t="str">
        <f>"男"</f>
        <v>男</v>
      </c>
    </row>
    <row r="1810" spans="1:5" s="1" customFormat="1" ht="34.5" customHeight="1">
      <c r="A1810" s="2">
        <v>1808</v>
      </c>
      <c r="B1810" s="2" t="str">
        <f>"35932021121711584767949"</f>
        <v>35932021121711584767949</v>
      </c>
      <c r="C1810" s="2" t="s">
        <v>11</v>
      </c>
      <c r="D1810" s="2" t="str">
        <f>"朱耀钦"</f>
        <v>朱耀钦</v>
      </c>
      <c r="E1810" s="2" t="str">
        <f>"男"</f>
        <v>男</v>
      </c>
    </row>
    <row r="1811" spans="1:5" s="1" customFormat="1" ht="34.5" customHeight="1">
      <c r="A1811" s="2">
        <v>1809</v>
      </c>
      <c r="B1811" s="2" t="str">
        <f>"35932021121720370768021"</f>
        <v>35932021121720370768021</v>
      </c>
      <c r="C1811" s="2" t="s">
        <v>11</v>
      </c>
      <c r="D1811" s="2" t="str">
        <f>"黄燕华"</f>
        <v>黄燕华</v>
      </c>
      <c r="E1811" s="2" t="str">
        <f>"女"</f>
        <v>女</v>
      </c>
    </row>
    <row r="1812" spans="1:5" s="1" customFormat="1" ht="34.5" customHeight="1">
      <c r="A1812" s="2">
        <v>1810</v>
      </c>
      <c r="B1812" s="2" t="str">
        <f>"35932021121722001468034"</f>
        <v>35932021121722001468034</v>
      </c>
      <c r="C1812" s="2" t="s">
        <v>11</v>
      </c>
      <c r="D1812" s="2" t="str">
        <f>"黄彩柳"</f>
        <v>黄彩柳</v>
      </c>
      <c r="E1812" s="2" t="str">
        <f>"女"</f>
        <v>女</v>
      </c>
    </row>
    <row r="1813" spans="1:5" s="1" customFormat="1" ht="34.5" customHeight="1">
      <c r="A1813" s="2">
        <v>1811</v>
      </c>
      <c r="B1813" s="2" t="str">
        <f>"35932021121723183168049"</f>
        <v>35932021121723183168049</v>
      </c>
      <c r="C1813" s="2" t="s">
        <v>11</v>
      </c>
      <c r="D1813" s="2" t="str">
        <f>"吕海玲"</f>
        <v>吕海玲</v>
      </c>
      <c r="E1813" s="2" t="str">
        <f>"女"</f>
        <v>女</v>
      </c>
    </row>
    <row r="1814" spans="1:5" s="1" customFormat="1" ht="34.5" customHeight="1">
      <c r="A1814" s="2">
        <v>1812</v>
      </c>
      <c r="B1814" s="2" t="str">
        <f>"35932021121811214168125"</f>
        <v>35932021121811214168125</v>
      </c>
      <c r="C1814" s="2" t="s">
        <v>11</v>
      </c>
      <c r="D1814" s="2" t="str">
        <f>"吴敦卓"</f>
        <v>吴敦卓</v>
      </c>
      <c r="E1814" s="2" t="str">
        <f>"男"</f>
        <v>男</v>
      </c>
    </row>
    <row r="1815" spans="1:5" s="1" customFormat="1" ht="34.5" customHeight="1">
      <c r="A1815" s="2">
        <v>1813</v>
      </c>
      <c r="B1815" s="2" t="str">
        <f>"35932021121813371668165"</f>
        <v>35932021121813371668165</v>
      </c>
      <c r="C1815" s="2" t="s">
        <v>11</v>
      </c>
      <c r="D1815" s="2" t="str">
        <f>"符俊铭"</f>
        <v>符俊铭</v>
      </c>
      <c r="E1815" s="2" t="str">
        <f>"男"</f>
        <v>男</v>
      </c>
    </row>
    <row r="1816" spans="1:5" s="1" customFormat="1" ht="34.5" customHeight="1">
      <c r="A1816" s="2">
        <v>1814</v>
      </c>
      <c r="B1816" s="2" t="str">
        <f>"35932021121820534068287"</f>
        <v>35932021121820534068287</v>
      </c>
      <c r="C1816" s="2" t="s">
        <v>11</v>
      </c>
      <c r="D1816" s="2" t="str">
        <f>"闵潇潇"</f>
        <v>闵潇潇</v>
      </c>
      <c r="E1816" s="2" t="str">
        <f>"女"</f>
        <v>女</v>
      </c>
    </row>
    <row r="1817" spans="1:5" s="1" customFormat="1" ht="34.5" customHeight="1">
      <c r="A1817" s="2">
        <v>1815</v>
      </c>
      <c r="B1817" s="2" t="str">
        <f>"35932021121821205868295"</f>
        <v>35932021121821205868295</v>
      </c>
      <c r="C1817" s="2" t="s">
        <v>11</v>
      </c>
      <c r="D1817" s="2" t="str">
        <f>"王莘睿"</f>
        <v>王莘睿</v>
      </c>
      <c r="E1817" s="2" t="str">
        <f>"女"</f>
        <v>女</v>
      </c>
    </row>
    <row r="1818" spans="1:5" s="1" customFormat="1" ht="34.5" customHeight="1">
      <c r="A1818" s="2">
        <v>1816</v>
      </c>
      <c r="B1818" s="2" t="str">
        <f>"35932021121911033568414"</f>
        <v>35932021121911033568414</v>
      </c>
      <c r="C1818" s="2" t="s">
        <v>11</v>
      </c>
      <c r="D1818" s="2" t="str">
        <f>"陈子豪"</f>
        <v>陈子豪</v>
      </c>
      <c r="E1818" s="2" t="str">
        <f>"男"</f>
        <v>男</v>
      </c>
    </row>
    <row r="1819" spans="1:5" s="1" customFormat="1" ht="34.5" customHeight="1">
      <c r="A1819" s="2">
        <v>1817</v>
      </c>
      <c r="B1819" s="2" t="str">
        <f>"35932021121913330668483"</f>
        <v>35932021121913330668483</v>
      </c>
      <c r="C1819" s="2" t="s">
        <v>11</v>
      </c>
      <c r="D1819" s="2" t="str">
        <f>"周紫萌"</f>
        <v>周紫萌</v>
      </c>
      <c r="E1819" s="2" t="str">
        <f>"女"</f>
        <v>女</v>
      </c>
    </row>
    <row r="1820" spans="1:5" s="1" customFormat="1" ht="34.5" customHeight="1">
      <c r="A1820" s="2">
        <v>1818</v>
      </c>
      <c r="B1820" s="2" t="str">
        <f>"35932021121915274668552"</f>
        <v>35932021121915274668552</v>
      </c>
      <c r="C1820" s="2" t="s">
        <v>11</v>
      </c>
      <c r="D1820" s="2" t="str">
        <f>"韩莉"</f>
        <v>韩莉</v>
      </c>
      <c r="E1820" s="2" t="str">
        <f>"女"</f>
        <v>女</v>
      </c>
    </row>
    <row r="1821" spans="1:5" s="1" customFormat="1" ht="34.5" customHeight="1">
      <c r="A1821" s="2">
        <v>1819</v>
      </c>
      <c r="B1821" s="2" t="str">
        <f>"35932021121916361568589"</f>
        <v>35932021121916361568589</v>
      </c>
      <c r="C1821" s="2" t="s">
        <v>11</v>
      </c>
      <c r="D1821" s="2" t="str">
        <f>"王忠旭"</f>
        <v>王忠旭</v>
      </c>
      <c r="E1821" s="2" t="str">
        <f>"男"</f>
        <v>男</v>
      </c>
    </row>
    <row r="1822" spans="1:5" s="1" customFormat="1" ht="34.5" customHeight="1">
      <c r="A1822" s="2">
        <v>1820</v>
      </c>
      <c r="B1822" s="2" t="str">
        <f>"35932021121918030968647"</f>
        <v>35932021121918030968647</v>
      </c>
      <c r="C1822" s="2" t="s">
        <v>11</v>
      </c>
      <c r="D1822" s="2" t="str">
        <f>"高心宽"</f>
        <v>高心宽</v>
      </c>
      <c r="E1822" s="2" t="str">
        <f>"男"</f>
        <v>男</v>
      </c>
    </row>
    <row r="1823" spans="1:5" s="1" customFormat="1" ht="34.5" customHeight="1">
      <c r="A1823" s="2">
        <v>1821</v>
      </c>
      <c r="B1823" s="2" t="str">
        <f>"35932021121920174268732"</f>
        <v>35932021121920174268732</v>
      </c>
      <c r="C1823" s="2" t="s">
        <v>11</v>
      </c>
      <c r="D1823" s="2" t="str">
        <f>"曹一凯"</f>
        <v>曹一凯</v>
      </c>
      <c r="E1823" s="2" t="str">
        <f>"男"</f>
        <v>男</v>
      </c>
    </row>
    <row r="1824" spans="1:5" s="1" customFormat="1" ht="34.5" customHeight="1">
      <c r="A1824" s="2">
        <v>1822</v>
      </c>
      <c r="B1824" s="2" t="str">
        <f>"35932021121920322068742"</f>
        <v>35932021121920322068742</v>
      </c>
      <c r="C1824" s="2" t="s">
        <v>11</v>
      </c>
      <c r="D1824" s="2" t="str">
        <f>"钟舒祯"</f>
        <v>钟舒祯</v>
      </c>
      <c r="E1824" s="2" t="str">
        <f>"女"</f>
        <v>女</v>
      </c>
    </row>
    <row r="1825" spans="1:5" s="1" customFormat="1" ht="34.5" customHeight="1">
      <c r="A1825" s="2">
        <v>1823</v>
      </c>
      <c r="B1825" s="2" t="str">
        <f>"35932021121921194368773"</f>
        <v>35932021121921194368773</v>
      </c>
      <c r="C1825" s="2" t="s">
        <v>11</v>
      </c>
      <c r="D1825" s="2" t="str">
        <f>"叶少仪"</f>
        <v>叶少仪</v>
      </c>
      <c r="E1825" s="2" t="str">
        <f>"女"</f>
        <v>女</v>
      </c>
    </row>
    <row r="1826" spans="1:5" s="1" customFormat="1" ht="34.5" customHeight="1">
      <c r="A1826" s="2">
        <v>1824</v>
      </c>
      <c r="B1826" s="2" t="str">
        <f>"35932021122000230468885"</f>
        <v>35932021122000230468885</v>
      </c>
      <c r="C1826" s="2" t="s">
        <v>11</v>
      </c>
      <c r="D1826" s="2" t="str">
        <f>"王宏源"</f>
        <v>王宏源</v>
      </c>
      <c r="E1826" s="2" t="str">
        <f>"男"</f>
        <v>男</v>
      </c>
    </row>
    <row r="1827" spans="1:5" s="1" customFormat="1" ht="34.5" customHeight="1">
      <c r="A1827" s="2">
        <v>1825</v>
      </c>
      <c r="B1827" s="2" t="str">
        <f>"35932021122004445968901"</f>
        <v>35932021122004445968901</v>
      </c>
      <c r="C1827" s="2" t="s">
        <v>11</v>
      </c>
      <c r="D1827" s="2" t="str">
        <f>"陈泌汀"</f>
        <v>陈泌汀</v>
      </c>
      <c r="E1827" s="2" t="str">
        <f>"女"</f>
        <v>女</v>
      </c>
    </row>
    <row r="1828" spans="1:5" s="1" customFormat="1" ht="34.5" customHeight="1">
      <c r="A1828" s="2">
        <v>1826</v>
      </c>
      <c r="B1828" s="2" t="str">
        <f>"35932021122010375869059"</f>
        <v>35932021122010375869059</v>
      </c>
      <c r="C1828" s="2" t="s">
        <v>11</v>
      </c>
      <c r="D1828" s="2" t="str">
        <f>"吴冯桢"</f>
        <v>吴冯桢</v>
      </c>
      <c r="E1828" s="2" t="str">
        <f>"女"</f>
        <v>女</v>
      </c>
    </row>
    <row r="1829" spans="1:5" s="1" customFormat="1" ht="34.5" customHeight="1">
      <c r="A1829" s="2">
        <v>1827</v>
      </c>
      <c r="B1829" s="2" t="str">
        <f>"35932021122010501869075"</f>
        <v>35932021122010501869075</v>
      </c>
      <c r="C1829" s="2" t="s">
        <v>11</v>
      </c>
      <c r="D1829" s="2" t="str">
        <f>"戴毕亚"</f>
        <v>戴毕亚</v>
      </c>
      <c r="E1829" s="2" t="str">
        <f>"男"</f>
        <v>男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陈明耀</cp:lastModifiedBy>
  <dcterms:created xsi:type="dcterms:W3CDTF">2021-12-21T02:50:36Z</dcterms:created>
  <dcterms:modified xsi:type="dcterms:W3CDTF">2021-12-21T08:51:56Z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28A3E8589DFA44B5BC7D584E0180A679</vt:lpwstr>
  </property>
  <property fmtid="{D5CDD505-2E9C-101B-9397-08002B2CF9AE}" pid="3" name="KSOProductBuildVer">
    <vt:lpwstr>2052-11.1.0.11115</vt:lpwstr>
  </property>
</Properties>
</file>