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本次下达资金表" sheetId="8" r:id="rId1"/>
    <sheet name="任务安排表（定）" sheetId="7" state="hidden" r:id="rId2"/>
  </sheets>
  <definedNames>
    <definedName name="_xlnm._FilterDatabase" localSheetId="0" hidden="1">本次下达资金表!$A$4:$H$23</definedName>
    <definedName name="_xlnm.Print_Area" localSheetId="0">本次下达资金表!$A$1:$H$23</definedName>
    <definedName name="_xlnm.Print_Area" localSheetId="1">'任务安排表（定）'!$A$1:$AG$24</definedName>
  </definedNames>
  <calcPr calcId="144525"/>
</workbook>
</file>

<file path=xl/sharedStrings.xml><?xml version="1.0" encoding="utf-8"?>
<sst xmlns="http://schemas.openxmlformats.org/spreadsheetml/2006/main" count="76" uniqueCount="54">
  <si>
    <t>附件1</t>
  </si>
  <si>
    <t>2026年省级转移支付高标准农田建设资金安排表</t>
  </si>
  <si>
    <t>市县</t>
  </si>
  <si>
    <t>资金分配</t>
  </si>
  <si>
    <t>提前下达（万元）</t>
  </si>
  <si>
    <t>此次下达（万元）</t>
  </si>
  <si>
    <t>合计（万元）</t>
  </si>
  <si>
    <t>省级配套中央转移支付建设任务新建400元/亩，改造提升80元/亩（万元）</t>
  </si>
  <si>
    <t>产粮大县补助省级补助资金（万元）</t>
  </si>
  <si>
    <t>国债资金安排（万元）</t>
  </si>
  <si>
    <t>省级转移支付高标准农田建设资金安排（万元）</t>
  </si>
  <si>
    <t>2026年省级转移支付高标准农田建设任务和资金分解表</t>
  </si>
  <si>
    <t>序号</t>
  </si>
  <si>
    <t>2026年项目完成批复或正在批复
情况（万亩）</t>
  </si>
  <si>
    <t>2026年中央转移支付任务
分配（万亩）</t>
  </si>
  <si>
    <t>中央转移支付资金安排（新建按2300元/亩、改造提升按1820元/亩测算，最终标准以财政审定为准）</t>
  </si>
  <si>
    <t>中央转移支付省级配套资金安排（万元）（按中央和省级新建2700元/亩，改造提升1900元/亩测算）</t>
  </si>
  <si>
    <t>产粮大县补助（万元）（省级承担市县配套的新建类300元/亩、改造提升100元/亩）</t>
  </si>
  <si>
    <t>国债资金安排（按中央和省级新建3000元/亩，改造提升2500元/亩测算）</t>
  </si>
  <si>
    <t>储备任务未安排情况
（万亩）</t>
  </si>
  <si>
    <t>省级转移支付安排
（万亩）</t>
  </si>
  <si>
    <t>省级转移支付资金安排
（万元）（产粮大县按3000元/亩改造提升2000元/亩测算，非产粮大县按2700元/亩改造提升1900元/亩测算）</t>
  </si>
  <si>
    <t>新建</t>
  </si>
  <si>
    <t>改造提升</t>
  </si>
  <si>
    <t>小计</t>
  </si>
  <si>
    <t>同步实施高效节水灌溉</t>
  </si>
  <si>
    <t>新建（万元）</t>
  </si>
  <si>
    <t>亩均投入（元）</t>
  </si>
  <si>
    <t>改造提升（万元）</t>
  </si>
  <si>
    <t>新建亩均配套（元）</t>
  </si>
  <si>
    <t>改造提升亩均配套（元）</t>
  </si>
  <si>
    <t>小计（中央资金60万元需要省里出）</t>
  </si>
  <si>
    <t>改造
提升</t>
  </si>
  <si>
    <t>实际分配</t>
  </si>
  <si>
    <t>合计</t>
  </si>
  <si>
    <t>海口市</t>
  </si>
  <si>
    <t>三亚市</t>
  </si>
  <si>
    <t>儋州市</t>
  </si>
  <si>
    <t>文昌市</t>
  </si>
  <si>
    <t>琼海市</t>
  </si>
  <si>
    <t>万宁市</t>
  </si>
  <si>
    <t>申报超长期国债</t>
  </si>
  <si>
    <t>东方市</t>
  </si>
  <si>
    <t>定安县</t>
  </si>
  <si>
    <t>澄迈县</t>
  </si>
  <si>
    <t>临高县</t>
  </si>
  <si>
    <t>昌江县</t>
  </si>
  <si>
    <t>乐东县</t>
  </si>
  <si>
    <t>陵水县</t>
  </si>
  <si>
    <t>白沙县</t>
  </si>
  <si>
    <t>屯昌县</t>
  </si>
  <si>
    <t>保亭县</t>
  </si>
  <si>
    <t>琼中县</t>
  </si>
  <si>
    <t>五指山市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</si>
</sst>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</numFmts>
  <fonts count="3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color rgb="FFFF0000"/>
      <name val="宋体"/>
      <charset val="134"/>
    </font>
    <font>
      <sz val="13"/>
      <color theme="1"/>
      <name val="黑体"/>
      <charset val="134"/>
    </font>
    <font>
      <sz val="13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4"/>
      <color theme="1"/>
      <name val="仿宋"/>
      <charset val="0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22"/>
      <color indexed="8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1" fillId="29" borderId="0" applyNumberFormat="false" applyBorder="false" applyAlignment="false" applyProtection="false">
      <alignment vertical="center"/>
    </xf>
    <xf numFmtId="0" fontId="1" fillId="35" borderId="0" applyNumberFormat="false" applyBorder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1" fillId="42" borderId="0" applyNumberFormat="false" applyBorder="false" applyAlignment="false" applyProtection="false">
      <alignment vertical="center"/>
    </xf>
    <xf numFmtId="0" fontId="1" fillId="3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32" fillId="37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9" fillId="39" borderId="0" applyNumberFormat="false" applyBorder="false" applyAlignment="false" applyProtection="false">
      <alignment vertical="center"/>
    </xf>
    <xf numFmtId="0" fontId="34" fillId="41" borderId="6" applyNumberFormat="false" applyAlignment="false" applyProtection="false">
      <alignment vertical="center"/>
    </xf>
    <xf numFmtId="0" fontId="35" fillId="37" borderId="8" applyNumberFormat="false" applyAlignment="false" applyProtection="false">
      <alignment vertical="center"/>
    </xf>
    <xf numFmtId="0" fontId="28" fillId="31" borderId="3" applyNumberFormat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34" borderId="5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3" borderId="0" xfId="0" applyFill="true">
      <alignment vertical="center"/>
    </xf>
    <xf numFmtId="0" fontId="0" fillId="4" borderId="0" xfId="0" applyFill="true">
      <alignment vertical="center"/>
    </xf>
    <xf numFmtId="0" fontId="0" fillId="5" borderId="0" xfId="0" applyFill="true">
      <alignment vertical="center"/>
    </xf>
    <xf numFmtId="0" fontId="0" fillId="6" borderId="0" xfId="0" applyFill="true">
      <alignment vertical="center"/>
    </xf>
    <xf numFmtId="0" fontId="0" fillId="7" borderId="0" xfId="0" applyFill="true">
      <alignment vertical="center"/>
    </xf>
    <xf numFmtId="0" fontId="0" fillId="8" borderId="0" xfId="0" applyFill="true">
      <alignment vertical="center"/>
    </xf>
    <xf numFmtId="0" fontId="0" fillId="9" borderId="0" xfId="0" applyFill="true">
      <alignment vertical="center"/>
    </xf>
    <xf numFmtId="177" fontId="0" fillId="0" borderId="0" xfId="0" applyNumberForma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178" fontId="1" fillId="0" borderId="0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 wrapText="true"/>
    </xf>
    <xf numFmtId="178" fontId="1" fillId="0" borderId="0" xfId="0" applyNumberFormat="true" applyFont="true" applyFill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8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177" fontId="5" fillId="1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7" fillId="4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7" fillId="5" borderId="1" xfId="0" applyFont="true" applyFill="true" applyBorder="true" applyAlignment="true">
      <alignment horizontal="center" vertical="center"/>
    </xf>
    <xf numFmtId="0" fontId="8" fillId="5" borderId="1" xfId="0" applyFont="true" applyFill="true" applyBorder="true" applyAlignment="true">
      <alignment horizontal="center" vertical="center"/>
    </xf>
    <xf numFmtId="0" fontId="7" fillId="6" borderId="1" xfId="0" applyFont="true" applyFill="true" applyBorder="true" applyAlignment="true">
      <alignment horizontal="center" vertical="center"/>
    </xf>
    <xf numFmtId="0" fontId="8" fillId="6" borderId="1" xfId="0" applyFont="true" applyFill="true" applyBorder="true" applyAlignment="true">
      <alignment horizontal="center" vertical="center"/>
    </xf>
    <xf numFmtId="0" fontId="7" fillId="7" borderId="1" xfId="0" applyFont="true" applyFill="true" applyBorder="true" applyAlignment="true">
      <alignment horizontal="center" vertical="center"/>
    </xf>
    <xf numFmtId="0" fontId="7" fillId="8" borderId="1" xfId="0" applyFont="true" applyFill="true" applyBorder="true" applyAlignment="true">
      <alignment horizontal="center" vertical="center"/>
    </xf>
    <xf numFmtId="0" fontId="7" fillId="9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177" fontId="7" fillId="0" borderId="0" xfId="0" applyNumberFormat="true" applyFont="true" applyFill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10" fillId="3" borderId="1" xfId="0" applyFont="true" applyFill="true" applyBorder="true" applyAlignment="true">
      <alignment horizontal="center" vertical="center"/>
    </xf>
    <xf numFmtId="0" fontId="10" fillId="4" borderId="1" xfId="0" applyFont="true" applyFill="true" applyBorder="true" applyAlignment="true">
      <alignment horizontal="center" vertical="center"/>
    </xf>
    <xf numFmtId="0" fontId="10" fillId="5" borderId="1" xfId="0" applyFont="true" applyFill="true" applyBorder="true" applyAlignment="true">
      <alignment horizontal="center" vertical="center"/>
    </xf>
    <xf numFmtId="0" fontId="10" fillId="6" borderId="1" xfId="0" applyFont="true" applyFill="true" applyBorder="true" applyAlignment="true">
      <alignment horizontal="center" vertical="center"/>
    </xf>
    <xf numFmtId="0" fontId="10" fillId="7" borderId="1" xfId="0" applyFont="true" applyFill="true" applyBorder="true" applyAlignment="true">
      <alignment horizontal="center" vertical="center"/>
    </xf>
    <xf numFmtId="0" fontId="10" fillId="8" borderId="1" xfId="0" applyFont="true" applyFill="true" applyBorder="true" applyAlignment="true">
      <alignment horizontal="center" vertical="center"/>
    </xf>
    <xf numFmtId="0" fontId="10" fillId="9" borderId="1" xfId="0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178" fontId="3" fillId="0" borderId="0" xfId="0" applyNumberFormat="true" applyFont="true" applyAlignment="true">
      <alignment horizontal="center" vertical="center"/>
    </xf>
    <xf numFmtId="178" fontId="9" fillId="0" borderId="0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8" fontId="7" fillId="2" borderId="1" xfId="0" applyNumberFormat="true" applyFont="true" applyFill="true" applyBorder="true" applyAlignment="true">
      <alignment horizontal="center" vertical="center"/>
    </xf>
    <xf numFmtId="178" fontId="7" fillId="3" borderId="1" xfId="0" applyNumberFormat="true" applyFont="true" applyFill="true" applyBorder="true" applyAlignment="true">
      <alignment horizontal="center" vertical="center"/>
    </xf>
    <xf numFmtId="178" fontId="7" fillId="4" borderId="1" xfId="0" applyNumberFormat="true" applyFont="true" applyFill="true" applyBorder="true" applyAlignment="true">
      <alignment horizontal="center" vertical="center"/>
    </xf>
    <xf numFmtId="178" fontId="7" fillId="5" borderId="1" xfId="0" applyNumberFormat="true" applyFont="true" applyFill="true" applyBorder="true" applyAlignment="true">
      <alignment horizontal="center" vertical="center"/>
    </xf>
    <xf numFmtId="178" fontId="7" fillId="6" borderId="1" xfId="0" applyNumberFormat="true" applyFont="true" applyFill="true" applyBorder="true" applyAlignment="true">
      <alignment horizontal="center" vertical="center"/>
    </xf>
    <xf numFmtId="178" fontId="7" fillId="7" borderId="1" xfId="0" applyNumberFormat="true" applyFont="true" applyFill="true" applyBorder="true" applyAlignment="true">
      <alignment horizontal="center" vertical="center"/>
    </xf>
    <xf numFmtId="178" fontId="7" fillId="8" borderId="1" xfId="0" applyNumberFormat="true" applyFont="true" applyFill="true" applyBorder="true" applyAlignment="true">
      <alignment horizontal="center" vertical="center"/>
    </xf>
    <xf numFmtId="178" fontId="7" fillId="9" borderId="1" xfId="0" applyNumberFormat="true" applyFont="true" applyFill="true" applyBorder="true" applyAlignment="true">
      <alignment horizontal="center" vertical="center"/>
    </xf>
    <xf numFmtId="178" fontId="7" fillId="0" borderId="0" xfId="0" applyNumberFormat="true" applyFont="true" applyFill="true" applyAlignment="true">
      <alignment horizontal="center" vertical="center"/>
    </xf>
    <xf numFmtId="178" fontId="9" fillId="0" borderId="0" xfId="0" applyNumberFormat="true" applyFont="true" applyFill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178" fontId="7" fillId="3" borderId="1" xfId="0" applyNumberFormat="true" applyFont="true" applyFill="true" applyBorder="true" applyAlignment="true">
      <alignment horizontal="center" vertical="center" wrapText="true"/>
    </xf>
    <xf numFmtId="178" fontId="7" fillId="4" borderId="1" xfId="0" applyNumberFormat="true" applyFont="true" applyFill="true" applyBorder="true" applyAlignment="true">
      <alignment horizontal="center" vertical="center" wrapText="true"/>
    </xf>
    <xf numFmtId="178" fontId="7" fillId="5" borderId="1" xfId="0" applyNumberFormat="true" applyFont="true" applyFill="true" applyBorder="true" applyAlignment="true">
      <alignment horizontal="center" vertical="center" wrapText="true"/>
    </xf>
    <xf numFmtId="178" fontId="7" fillId="6" borderId="1" xfId="0" applyNumberFormat="true" applyFont="true" applyFill="true" applyBorder="true" applyAlignment="true">
      <alignment horizontal="center" vertical="center" wrapText="true"/>
    </xf>
    <xf numFmtId="178" fontId="7" fillId="7" borderId="1" xfId="0" applyNumberFormat="true" applyFont="true" applyFill="true" applyBorder="true" applyAlignment="true">
      <alignment horizontal="center" vertical="center" wrapText="true"/>
    </xf>
    <xf numFmtId="178" fontId="7" fillId="8" borderId="1" xfId="0" applyNumberFormat="true" applyFont="true" applyFill="true" applyBorder="true" applyAlignment="true">
      <alignment horizontal="center" vertical="center" wrapText="true"/>
    </xf>
    <xf numFmtId="178" fontId="7" fillId="9" borderId="1" xfId="0" applyNumberFormat="true" applyFont="true" applyFill="true" applyBorder="true" applyAlignment="true">
      <alignment horizontal="center" vertical="center" wrapText="true"/>
    </xf>
    <xf numFmtId="178" fontId="7" fillId="0" borderId="0" xfId="0" applyNumberFormat="true" applyFont="true" applyFill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/>
    </xf>
    <xf numFmtId="176" fontId="9" fillId="0" borderId="0" xfId="0" applyNumberFormat="true" applyFont="true" applyFill="true" applyAlignment="true">
      <alignment horizontal="center" vertical="center" wrapText="true"/>
    </xf>
    <xf numFmtId="177" fontId="9" fillId="0" borderId="0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2" borderId="1" xfId="0" applyNumberFormat="true" applyFont="true" applyFill="true" applyBorder="true" applyAlignment="true">
      <alignment horizontal="center" vertical="center"/>
    </xf>
    <xf numFmtId="177" fontId="7" fillId="3" borderId="1" xfId="0" applyNumberFormat="true" applyFont="true" applyFill="true" applyBorder="true" applyAlignment="true">
      <alignment horizontal="center" vertical="center"/>
    </xf>
    <xf numFmtId="177" fontId="7" fillId="4" borderId="1" xfId="0" applyNumberFormat="true" applyFont="true" applyFill="true" applyBorder="true" applyAlignment="true">
      <alignment horizontal="center" vertical="center"/>
    </xf>
    <xf numFmtId="177" fontId="7" fillId="5" borderId="1" xfId="0" applyNumberFormat="true" applyFont="true" applyFill="true" applyBorder="true" applyAlignment="true">
      <alignment horizontal="center" vertical="center"/>
    </xf>
    <xf numFmtId="177" fontId="7" fillId="6" borderId="1" xfId="0" applyNumberFormat="true" applyFont="true" applyFill="true" applyBorder="true" applyAlignment="true">
      <alignment horizontal="center" vertical="center"/>
    </xf>
    <xf numFmtId="177" fontId="7" fillId="7" borderId="1" xfId="0" applyNumberFormat="true" applyFont="true" applyFill="true" applyBorder="true" applyAlignment="true">
      <alignment horizontal="center" vertical="center"/>
    </xf>
    <xf numFmtId="177" fontId="7" fillId="8" borderId="1" xfId="0" applyNumberFormat="true" applyFont="true" applyFill="true" applyBorder="true" applyAlignment="true">
      <alignment horizontal="center" vertical="center"/>
    </xf>
    <xf numFmtId="177" fontId="7" fillId="9" borderId="1" xfId="0" applyNumberFormat="true" applyFont="true" applyFill="true" applyBorder="true" applyAlignment="true">
      <alignment horizontal="center" vertical="center"/>
    </xf>
    <xf numFmtId="177" fontId="10" fillId="0" borderId="1" xfId="0" applyNumberFormat="true" applyFont="true" applyFill="true" applyBorder="true" applyAlignment="true">
      <alignment horizontal="center" vertical="center"/>
    </xf>
    <xf numFmtId="177" fontId="10" fillId="2" borderId="1" xfId="0" applyNumberFormat="true" applyFont="true" applyFill="true" applyBorder="true" applyAlignment="true">
      <alignment horizontal="center" vertical="center"/>
    </xf>
    <xf numFmtId="177" fontId="10" fillId="3" borderId="1" xfId="0" applyNumberFormat="true" applyFont="true" applyFill="true" applyBorder="true" applyAlignment="true">
      <alignment horizontal="center" vertical="center"/>
    </xf>
    <xf numFmtId="177" fontId="10" fillId="4" borderId="1" xfId="0" applyNumberFormat="true" applyFont="true" applyFill="true" applyBorder="true" applyAlignment="true">
      <alignment horizontal="center" vertical="center"/>
    </xf>
    <xf numFmtId="177" fontId="10" fillId="5" borderId="1" xfId="0" applyNumberFormat="true" applyFont="true" applyFill="true" applyBorder="true" applyAlignment="true">
      <alignment horizontal="center" vertical="center"/>
    </xf>
    <xf numFmtId="177" fontId="10" fillId="6" borderId="1" xfId="0" applyNumberFormat="true" applyFont="true" applyFill="true" applyBorder="true" applyAlignment="true">
      <alignment horizontal="center" vertical="center"/>
    </xf>
    <xf numFmtId="177" fontId="10" fillId="7" borderId="1" xfId="0" applyNumberFormat="true" applyFont="true" applyFill="true" applyBorder="true" applyAlignment="true">
      <alignment horizontal="center" vertical="center"/>
    </xf>
    <xf numFmtId="177" fontId="10" fillId="8" borderId="1" xfId="0" applyNumberFormat="true" applyFont="true" applyFill="true" applyBorder="true" applyAlignment="true">
      <alignment horizontal="center" vertical="center"/>
    </xf>
    <xf numFmtId="177" fontId="10" fillId="9" borderId="1" xfId="0" applyNumberFormat="true" applyFont="true" applyFill="true" applyBorder="true" applyAlignment="true">
      <alignment horizontal="center" vertical="center"/>
    </xf>
    <xf numFmtId="177" fontId="4" fillId="11" borderId="0" xfId="0" applyNumberFormat="true" applyFont="true" applyFill="true" applyAlignment="true">
      <alignment horizontal="center" vertical="center" wrapText="true"/>
    </xf>
    <xf numFmtId="0" fontId="4" fillId="11" borderId="0" xfId="0" applyFont="true" applyFill="true" applyAlignment="true">
      <alignment horizontal="center" vertical="center" wrapText="true"/>
    </xf>
    <xf numFmtId="178" fontId="4" fillId="11" borderId="0" xfId="0" applyNumberFormat="true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11" fillId="3" borderId="1" xfId="0" applyFont="true" applyFill="true" applyBorder="true" applyAlignment="true">
      <alignment horizontal="center" vertical="center"/>
    </xf>
    <xf numFmtId="0" fontId="11" fillId="4" borderId="1" xfId="0" applyFont="true" applyFill="true" applyBorder="true" applyAlignment="true">
      <alignment horizontal="center" vertical="center"/>
    </xf>
    <xf numFmtId="0" fontId="11" fillId="5" borderId="1" xfId="0" applyFont="true" applyFill="true" applyBorder="true" applyAlignment="true">
      <alignment horizontal="center" vertical="center"/>
    </xf>
    <xf numFmtId="0" fontId="11" fillId="6" borderId="1" xfId="0" applyFont="true" applyFill="true" applyBorder="true" applyAlignment="true">
      <alignment horizontal="center" vertical="center"/>
    </xf>
    <xf numFmtId="0" fontId="11" fillId="7" borderId="1" xfId="0" applyFont="true" applyFill="true" applyBorder="true" applyAlignment="true">
      <alignment horizontal="center" vertical="center"/>
    </xf>
    <xf numFmtId="0" fontId="11" fillId="8" borderId="1" xfId="0" applyFont="true" applyFill="true" applyBorder="true" applyAlignment="true">
      <alignment horizontal="center" vertical="center"/>
    </xf>
    <xf numFmtId="0" fontId="11" fillId="9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178" fontId="17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1" applyFont="true" applyBorder="true" applyAlignment="true">
      <alignment horizontal="center" vertical="center" wrapText="true"/>
    </xf>
    <xf numFmtId="0" fontId="18" fillId="0" borderId="0" xfId="0" applyFont="true" applyFill="true" applyBorder="true" applyAlignment="true">
      <alignment horizontal="center" vertical="center" wrapText="true"/>
    </xf>
    <xf numFmtId="0" fontId="17" fillId="0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tabSelected="1" workbookViewId="0">
      <pane xSplit="1" ySplit="5" topLeftCell="B5" activePane="bottomRight" state="frozen"/>
      <selection/>
      <selection pane="topRight"/>
      <selection pane="bottomLeft"/>
      <selection pane="bottomRight" activeCell="I22" sqref="I22"/>
    </sheetView>
  </sheetViews>
  <sheetFormatPr defaultColWidth="7.875" defaultRowHeight="14.25" outlineLevelCol="7"/>
  <cols>
    <col min="1" max="1" width="13.475" style="111" customWidth="true"/>
    <col min="2" max="2" width="12.85" style="111" customWidth="true"/>
    <col min="3" max="3" width="28.025" style="111" customWidth="true"/>
    <col min="4" max="4" width="20.2416666666667" style="111" customWidth="true"/>
    <col min="5" max="5" width="14.375" style="111" customWidth="true"/>
    <col min="6" max="6" width="18.7666666666667" style="111" customWidth="true"/>
    <col min="7" max="7" width="12.85" style="111" customWidth="true"/>
    <col min="8" max="8" width="13.125" style="111" customWidth="true"/>
    <col min="9" max="16380" width="7.875" style="111"/>
  </cols>
  <sheetData>
    <row r="1" ht="20.25" spans="1:8">
      <c r="A1" s="112" t="s">
        <v>0</v>
      </c>
      <c r="B1" s="113"/>
      <c r="C1" s="113"/>
      <c r="D1" s="113"/>
      <c r="E1" s="113"/>
      <c r="F1" s="113"/>
      <c r="G1" s="113"/>
      <c r="H1" s="121"/>
    </row>
    <row r="2" ht="29.25" spans="1:8">
      <c r="A2" s="114" t="s">
        <v>1</v>
      </c>
      <c r="B2" s="114"/>
      <c r="C2" s="114"/>
      <c r="D2" s="114"/>
      <c r="E2" s="114"/>
      <c r="F2" s="114"/>
      <c r="G2" s="114"/>
      <c r="H2" s="114"/>
    </row>
    <row r="3" ht="18.75" spans="1:8">
      <c r="A3" s="115" t="s">
        <v>2</v>
      </c>
      <c r="B3" s="116" t="s">
        <v>3</v>
      </c>
      <c r="C3" s="116"/>
      <c r="D3" s="116"/>
      <c r="E3" s="116"/>
      <c r="F3" s="116"/>
      <c r="G3" s="117" t="s">
        <v>4</v>
      </c>
      <c r="H3" s="117" t="s">
        <v>5</v>
      </c>
    </row>
    <row r="4" ht="63" customHeight="true" spans="1:8">
      <c r="A4" s="115"/>
      <c r="B4" s="117" t="s">
        <v>6</v>
      </c>
      <c r="C4" s="118" t="s">
        <v>7</v>
      </c>
      <c r="D4" s="118" t="s">
        <v>8</v>
      </c>
      <c r="E4" s="118" t="s">
        <v>9</v>
      </c>
      <c r="F4" s="118" t="s">
        <v>10</v>
      </c>
      <c r="G4" s="117"/>
      <c r="H4" s="117"/>
    </row>
    <row r="5" ht="54" customHeight="true" spans="1:8">
      <c r="A5" s="117" t="s">
        <v>6</v>
      </c>
      <c r="B5" s="119">
        <f t="shared" ref="B5:H5" si="0">SUM(B6:B23)</f>
        <v>20000</v>
      </c>
      <c r="C5" s="119">
        <f t="shared" si="0"/>
        <v>1680</v>
      </c>
      <c r="D5" s="119">
        <f t="shared" si="0"/>
        <v>899</v>
      </c>
      <c r="E5" s="119">
        <f t="shared" si="0"/>
        <v>2100</v>
      </c>
      <c r="F5" s="119">
        <f t="shared" si="0"/>
        <v>15321</v>
      </c>
      <c r="G5" s="119">
        <f t="shared" si="0"/>
        <v>20000</v>
      </c>
      <c r="H5" s="119">
        <f t="shared" si="0"/>
        <v>0</v>
      </c>
    </row>
    <row r="6" ht="19" customHeight="true" spans="1:8">
      <c r="A6" s="120" t="str">
        <f>+'任务安排表（定）'!B7</f>
        <v>海口市</v>
      </c>
      <c r="B6" s="120">
        <f>SUM(C6:F6)</f>
        <v>381</v>
      </c>
      <c r="C6" s="120">
        <f>+'任务安排表（定）'!Q7</f>
        <v>66</v>
      </c>
      <c r="D6" s="120"/>
      <c r="E6" s="120"/>
      <c r="F6" s="120">
        <v>315</v>
      </c>
      <c r="G6" s="120">
        <v>959</v>
      </c>
      <c r="H6" s="117">
        <f>B6-G6</f>
        <v>-578</v>
      </c>
    </row>
    <row r="7" ht="19" customHeight="true" spans="1:8">
      <c r="A7" s="120" t="str">
        <f>+'任务安排表（定）'!B8</f>
        <v>三亚市</v>
      </c>
      <c r="B7" s="120">
        <f t="shared" ref="B7:B23" si="1">SUM(C7:F7)</f>
        <v>581</v>
      </c>
      <c r="C7" s="120">
        <f>+'任务安排表（定）'!Q8</f>
        <v>94</v>
      </c>
      <c r="D7" s="120"/>
      <c r="E7" s="120"/>
      <c r="F7" s="120">
        <v>487</v>
      </c>
      <c r="G7" s="120">
        <v>321</v>
      </c>
      <c r="H7" s="117">
        <f t="shared" ref="H7:H23" si="2">B7-G7</f>
        <v>260</v>
      </c>
    </row>
    <row r="8" ht="19" customHeight="true" spans="1:8">
      <c r="A8" s="120" t="str">
        <f>+'任务安排表（定）'!B9</f>
        <v>儋州市</v>
      </c>
      <c r="B8" s="120">
        <f t="shared" si="1"/>
        <v>1245</v>
      </c>
      <c r="C8" s="120">
        <f>+'任务安排表（定）'!Q9</f>
        <v>140</v>
      </c>
      <c r="D8" s="120">
        <f>+'任务安排表（定）'!T9</f>
        <v>105</v>
      </c>
      <c r="E8" s="120"/>
      <c r="F8" s="120">
        <v>1000</v>
      </c>
      <c r="G8" s="120">
        <v>2601</v>
      </c>
      <c r="H8" s="117">
        <f t="shared" si="2"/>
        <v>-1356</v>
      </c>
    </row>
    <row r="9" ht="19" customHeight="true" spans="1:8">
      <c r="A9" s="120" t="str">
        <f>+'任务安排表（定）'!B10</f>
        <v>文昌市</v>
      </c>
      <c r="B9" s="120">
        <f t="shared" si="1"/>
        <v>1879</v>
      </c>
      <c r="C9" s="120">
        <f>+'任务安排表（定）'!Q10</f>
        <v>92</v>
      </c>
      <c r="D9" s="120">
        <f>+'任务安排表（定）'!T10</f>
        <v>77</v>
      </c>
      <c r="E9" s="120"/>
      <c r="F9" s="120">
        <v>1710</v>
      </c>
      <c r="G9" s="120">
        <v>2334</v>
      </c>
      <c r="H9" s="117">
        <f t="shared" si="2"/>
        <v>-455</v>
      </c>
    </row>
    <row r="10" ht="19" customHeight="true" spans="1:8">
      <c r="A10" s="120" t="str">
        <f>+'任务安排表（定）'!B11</f>
        <v>琼海市</v>
      </c>
      <c r="B10" s="120">
        <f t="shared" si="1"/>
        <v>1111</v>
      </c>
      <c r="C10" s="120">
        <f>+'任务安排表（定）'!Q11</f>
        <v>48</v>
      </c>
      <c r="D10" s="120"/>
      <c r="E10" s="120"/>
      <c r="F10" s="120">
        <v>1063</v>
      </c>
      <c r="G10" s="120">
        <v>322</v>
      </c>
      <c r="H10" s="117">
        <f t="shared" si="2"/>
        <v>789</v>
      </c>
    </row>
    <row r="11" ht="19" customHeight="true" spans="1:8">
      <c r="A11" s="120" t="str">
        <f>+'任务安排表（定）'!B12</f>
        <v>万宁市</v>
      </c>
      <c r="B11" s="120">
        <f t="shared" si="1"/>
        <v>2188</v>
      </c>
      <c r="C11" s="120">
        <f>+'任务安排表（定）'!Q12</f>
        <v>0</v>
      </c>
      <c r="D11" s="120"/>
      <c r="E11" s="120">
        <v>2100</v>
      </c>
      <c r="F11" s="120">
        <v>88</v>
      </c>
      <c r="G11" s="120">
        <v>2116</v>
      </c>
      <c r="H11" s="117">
        <f t="shared" si="2"/>
        <v>72</v>
      </c>
    </row>
    <row r="12" ht="19" customHeight="true" spans="1:8">
      <c r="A12" s="120" t="str">
        <f>+'任务安排表（定）'!B13</f>
        <v>东方市</v>
      </c>
      <c r="B12" s="120">
        <f t="shared" si="1"/>
        <v>1397</v>
      </c>
      <c r="C12" s="120">
        <f>+'任务安排表（定）'!Q13</f>
        <v>34</v>
      </c>
      <c r="D12" s="120">
        <f>+'任务安排表（定）'!T13</f>
        <v>43</v>
      </c>
      <c r="E12" s="120"/>
      <c r="F12" s="120">
        <v>1320</v>
      </c>
      <c r="G12" s="120">
        <v>2231</v>
      </c>
      <c r="H12" s="117">
        <f t="shared" si="2"/>
        <v>-834</v>
      </c>
    </row>
    <row r="13" ht="19" customHeight="true" spans="1:8">
      <c r="A13" s="120" t="str">
        <f>+'任务安排表（定）'!B14</f>
        <v>定安县</v>
      </c>
      <c r="B13" s="120">
        <f t="shared" si="1"/>
        <v>893</v>
      </c>
      <c r="C13" s="120">
        <f>+'任务安排表（定）'!Q14</f>
        <v>116</v>
      </c>
      <c r="D13" s="120">
        <f>+'任务安排表（定）'!T14</f>
        <v>87</v>
      </c>
      <c r="E13" s="120"/>
      <c r="F13" s="120">
        <v>690</v>
      </c>
      <c r="G13" s="120">
        <v>1203</v>
      </c>
      <c r="H13" s="117">
        <f t="shared" si="2"/>
        <v>-310</v>
      </c>
    </row>
    <row r="14" ht="19" customHeight="true" spans="1:8">
      <c r="A14" s="120" t="str">
        <f>+'任务安排表（定）'!B15</f>
        <v>澄迈县</v>
      </c>
      <c r="B14" s="120">
        <f t="shared" si="1"/>
        <v>2430</v>
      </c>
      <c r="C14" s="120">
        <f>+'任务安排表（定）'!Q15</f>
        <v>514</v>
      </c>
      <c r="D14" s="120">
        <f>+'任务安排表（定）'!T15</f>
        <v>446</v>
      </c>
      <c r="E14" s="120"/>
      <c r="F14" s="120">
        <v>1470</v>
      </c>
      <c r="G14" s="120">
        <v>2015</v>
      </c>
      <c r="H14" s="117">
        <f t="shared" si="2"/>
        <v>415</v>
      </c>
    </row>
    <row r="15" ht="19" customHeight="true" spans="1:8">
      <c r="A15" s="120" t="str">
        <f>+'任务安排表（定）'!B16</f>
        <v>临高县</v>
      </c>
      <c r="B15" s="120">
        <f t="shared" si="1"/>
        <v>699</v>
      </c>
      <c r="C15" s="120">
        <f>+'任务安排表（定）'!Q16</f>
        <v>53</v>
      </c>
      <c r="D15" s="120">
        <f>+'任务安排表（定）'!T16</f>
        <v>46</v>
      </c>
      <c r="E15" s="120"/>
      <c r="F15" s="120">
        <v>600</v>
      </c>
      <c r="G15" s="120">
        <v>1900</v>
      </c>
      <c r="H15" s="117">
        <f t="shared" si="2"/>
        <v>-1201</v>
      </c>
    </row>
    <row r="16" ht="19" customHeight="true" spans="1:8">
      <c r="A16" s="120" t="str">
        <f>+'任务安排表（定）'!B17</f>
        <v>昌江县</v>
      </c>
      <c r="B16" s="120">
        <f t="shared" si="1"/>
        <v>675</v>
      </c>
      <c r="C16" s="120">
        <f>+'任务安排表（定）'!Q17</f>
        <v>200</v>
      </c>
      <c r="D16" s="120"/>
      <c r="E16" s="120"/>
      <c r="F16" s="120">
        <v>475</v>
      </c>
      <c r="G16" s="120">
        <v>743</v>
      </c>
      <c r="H16" s="117">
        <f t="shared" si="2"/>
        <v>-68</v>
      </c>
    </row>
    <row r="17" ht="19" customHeight="true" spans="1:8">
      <c r="A17" s="120" t="str">
        <f>+'任务安排表（定）'!B18</f>
        <v>乐东县</v>
      </c>
      <c r="B17" s="120">
        <f t="shared" si="1"/>
        <v>2971</v>
      </c>
      <c r="C17" s="120">
        <f>+'任务安排表（定）'!Q18</f>
        <v>76</v>
      </c>
      <c r="D17" s="120">
        <f>+'任务安排表（定）'!T18</f>
        <v>95</v>
      </c>
      <c r="E17" s="120"/>
      <c r="F17" s="120">
        <v>2800</v>
      </c>
      <c r="G17" s="120">
        <v>1914</v>
      </c>
      <c r="H17" s="117">
        <f t="shared" si="2"/>
        <v>1057</v>
      </c>
    </row>
    <row r="18" ht="19" customHeight="true" spans="1:8">
      <c r="A18" s="120" t="str">
        <f>+'任务安排表（定）'!B19</f>
        <v>陵水县</v>
      </c>
      <c r="B18" s="120">
        <f t="shared" si="1"/>
        <v>1704</v>
      </c>
      <c r="C18" s="120">
        <f>+'任务安排表（定）'!Q19</f>
        <v>74</v>
      </c>
      <c r="D18" s="120"/>
      <c r="E18" s="120"/>
      <c r="F18" s="120">
        <v>1630</v>
      </c>
      <c r="G18" s="120">
        <v>468</v>
      </c>
      <c r="H18" s="117">
        <f t="shared" si="2"/>
        <v>1236</v>
      </c>
    </row>
    <row r="19" ht="19" customHeight="true" spans="1:8">
      <c r="A19" s="120" t="str">
        <f>+'任务安排表（定）'!B20</f>
        <v>白沙县</v>
      </c>
      <c r="B19" s="120">
        <f t="shared" si="1"/>
        <v>123</v>
      </c>
      <c r="C19" s="120">
        <f>+'任务安排表（定）'!Q20</f>
        <v>37</v>
      </c>
      <c r="D19" s="120"/>
      <c r="E19" s="122"/>
      <c r="F19" s="120">
        <v>86</v>
      </c>
      <c r="G19" s="122">
        <v>216</v>
      </c>
      <c r="H19" s="117">
        <f t="shared" si="2"/>
        <v>-93</v>
      </c>
    </row>
    <row r="20" ht="19" customHeight="true" spans="1:8">
      <c r="A20" s="120" t="str">
        <f>+'任务安排表（定）'!B21</f>
        <v>屯昌县</v>
      </c>
      <c r="B20" s="120">
        <f t="shared" si="1"/>
        <v>787</v>
      </c>
      <c r="C20" s="120">
        <f>+'任务安排表（定）'!Q21</f>
        <v>40</v>
      </c>
      <c r="D20" s="120"/>
      <c r="E20" s="122"/>
      <c r="F20" s="120">
        <v>747</v>
      </c>
      <c r="G20" s="122">
        <v>350</v>
      </c>
      <c r="H20" s="117">
        <f t="shared" si="2"/>
        <v>437</v>
      </c>
    </row>
    <row r="21" ht="19" customHeight="true" spans="1:8">
      <c r="A21" s="120" t="str">
        <f>+'任务安排表（定）'!B22</f>
        <v>保亭县</v>
      </c>
      <c r="B21" s="120">
        <f t="shared" si="1"/>
        <v>245</v>
      </c>
      <c r="C21" s="120">
        <f>+'任务安排表（定）'!Q22</f>
        <v>8</v>
      </c>
      <c r="D21" s="120"/>
      <c r="E21" s="122"/>
      <c r="F21" s="120">
        <v>237</v>
      </c>
      <c r="G21" s="122">
        <v>124</v>
      </c>
      <c r="H21" s="117">
        <f t="shared" si="2"/>
        <v>121</v>
      </c>
    </row>
    <row r="22" ht="19" customHeight="true" spans="1:8">
      <c r="A22" s="120" t="str">
        <f>+'任务安排表（定）'!B23</f>
        <v>琼中县</v>
      </c>
      <c r="B22" s="120">
        <f t="shared" si="1"/>
        <v>574</v>
      </c>
      <c r="C22" s="120">
        <f>+'任务安排表（定）'!Q23</f>
        <v>40</v>
      </c>
      <c r="D22" s="120"/>
      <c r="E22" s="122"/>
      <c r="F22" s="120">
        <v>534</v>
      </c>
      <c r="G22" s="122">
        <v>119</v>
      </c>
      <c r="H22" s="117">
        <f t="shared" si="2"/>
        <v>455</v>
      </c>
    </row>
    <row r="23" ht="19" customHeight="true" spans="1:8">
      <c r="A23" s="120" t="str">
        <f>+'任务安排表（定）'!B24</f>
        <v>五指山市</v>
      </c>
      <c r="B23" s="120">
        <f t="shared" si="1"/>
        <v>117</v>
      </c>
      <c r="C23" s="120">
        <f>+'任务安排表（定）'!Q24</f>
        <v>48</v>
      </c>
      <c r="D23" s="120"/>
      <c r="E23" s="122"/>
      <c r="F23" s="120">
        <v>69</v>
      </c>
      <c r="G23" s="122">
        <v>64</v>
      </c>
      <c r="H23" s="117">
        <f t="shared" si="2"/>
        <v>53</v>
      </c>
    </row>
  </sheetData>
  <mergeCells count="5">
    <mergeCell ref="A2:H2"/>
    <mergeCell ref="B3:F3"/>
    <mergeCell ref="A3:A4"/>
    <mergeCell ref="G3:G4"/>
    <mergeCell ref="H3:H4"/>
  </mergeCells>
  <pageMargins left="0.75" right="0.393055555555556" top="0.511805555555556" bottom="0.550694444444444" header="0.5" footer="0.5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27"/>
  <sheetViews>
    <sheetView zoomScale="85" zoomScaleNormal="85" topLeftCell="H1" workbookViewId="0">
      <selection activeCell="S15" sqref="S15"/>
    </sheetView>
  </sheetViews>
  <sheetFormatPr defaultColWidth="9" defaultRowHeight="14.25"/>
  <cols>
    <col min="1" max="1" width="6.03333333333333" customWidth="true"/>
    <col min="2" max="2" width="11.5" customWidth="true"/>
    <col min="3" max="5" width="10.5833333333333" style="9" customWidth="true"/>
    <col min="6" max="6" width="8" style="10" customWidth="true"/>
    <col min="7" max="8" width="10.375" style="10" customWidth="true"/>
    <col min="9" max="9" width="8.25" style="10" customWidth="true"/>
    <col min="10" max="10" width="11.4666666666667" style="11" customWidth="true"/>
    <col min="11" max="11" width="10.25" style="10" customWidth="true"/>
    <col min="12" max="12" width="11" style="11" customWidth="true"/>
    <col min="13" max="13" width="10.375" style="10" customWidth="true"/>
    <col min="14" max="14" width="11.7583333333333" style="11" customWidth="true"/>
    <col min="15" max="15" width="9.4" style="12" customWidth="true"/>
    <col min="16" max="16" width="9.7" style="12" customWidth="true"/>
    <col min="17" max="17" width="8.38333333333333" style="12" customWidth="true"/>
    <col min="18" max="18" width="9.55" style="12" customWidth="true"/>
    <col min="19" max="19" width="9.625" style="12" customWidth="true"/>
    <col min="20" max="22" width="9" style="13" customWidth="true"/>
    <col min="23" max="23" width="10.5916666666667" style="13" customWidth="true"/>
    <col min="24" max="24" width="10.1416666666667" style="14" customWidth="true"/>
    <col min="25" max="25" width="10.125" style="14" customWidth="true"/>
    <col min="26" max="26" width="10.15" style="15" customWidth="true"/>
    <col min="27" max="27" width="12.0583333333333" style="15" customWidth="true"/>
    <col min="30" max="30" width="10.8833333333333" style="16" customWidth="true"/>
    <col min="32" max="32" width="9.69166666666667" customWidth="true"/>
    <col min="33" max="33" width="9" style="17"/>
  </cols>
  <sheetData>
    <row r="1" ht="24" customHeight="true" spans="1:1">
      <c r="A1" s="18" t="s">
        <v>0</v>
      </c>
    </row>
    <row r="2" customFormat="true" ht="28" customHeight="true" spans="1:33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53"/>
      <c r="K2" s="19"/>
      <c r="L2" s="53"/>
      <c r="M2" s="19"/>
      <c r="N2" s="53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7"/>
    </row>
    <row r="3" customFormat="true" ht="34" customHeight="true" spans="3:33">
      <c r="C3" s="20"/>
      <c r="D3" s="20"/>
      <c r="E3" s="20"/>
      <c r="F3" s="41"/>
      <c r="G3" s="41"/>
      <c r="H3" s="41"/>
      <c r="I3" s="41"/>
      <c r="J3" s="54"/>
      <c r="K3" s="41"/>
      <c r="L3" s="54"/>
      <c r="M3" s="41"/>
      <c r="N3" s="54"/>
      <c r="O3" s="67"/>
      <c r="P3" s="67"/>
      <c r="Q3" s="67"/>
      <c r="R3" s="67"/>
      <c r="S3" s="67"/>
      <c r="T3" s="67"/>
      <c r="U3" s="79"/>
      <c r="V3" s="79"/>
      <c r="W3" s="67"/>
      <c r="X3" s="80"/>
      <c r="Y3" s="80"/>
      <c r="Z3" s="15"/>
      <c r="AA3" s="15"/>
      <c r="AD3" s="16"/>
      <c r="AG3" s="17"/>
    </row>
    <row r="4" ht="67" customHeight="true" spans="1:33">
      <c r="A4" s="21" t="s">
        <v>12</v>
      </c>
      <c r="B4" s="21" t="s">
        <v>2</v>
      </c>
      <c r="C4" s="22" t="s">
        <v>13</v>
      </c>
      <c r="D4" s="23"/>
      <c r="E4" s="23"/>
      <c r="F4" s="42" t="s">
        <v>14</v>
      </c>
      <c r="G4" s="21"/>
      <c r="H4" s="21"/>
      <c r="I4" s="21"/>
      <c r="J4" s="55" t="s">
        <v>15</v>
      </c>
      <c r="K4" s="42"/>
      <c r="L4" s="56"/>
      <c r="M4" s="21"/>
      <c r="N4" s="56"/>
      <c r="O4" s="55" t="s">
        <v>16</v>
      </c>
      <c r="P4" s="55"/>
      <c r="Q4" s="55"/>
      <c r="R4" s="55" t="s">
        <v>17</v>
      </c>
      <c r="S4" s="55"/>
      <c r="T4" s="55"/>
      <c r="U4" s="55" t="s">
        <v>18</v>
      </c>
      <c r="V4" s="55"/>
      <c r="W4" s="55"/>
      <c r="X4" s="22" t="s">
        <v>19</v>
      </c>
      <c r="Y4" s="22"/>
      <c r="Z4" s="22"/>
      <c r="AA4" s="22" t="s">
        <v>20</v>
      </c>
      <c r="AB4" s="42"/>
      <c r="AC4" s="42"/>
      <c r="AD4" s="55" t="s">
        <v>21</v>
      </c>
      <c r="AE4" s="55"/>
      <c r="AF4" s="55"/>
      <c r="AG4" s="55"/>
    </row>
    <row r="5" ht="91" customHeight="true" spans="1:33">
      <c r="A5" s="21"/>
      <c r="B5" s="21"/>
      <c r="C5" s="24" t="s">
        <v>22</v>
      </c>
      <c r="D5" s="24" t="s">
        <v>23</v>
      </c>
      <c r="E5" s="24" t="s">
        <v>24</v>
      </c>
      <c r="F5" s="21" t="s">
        <v>22</v>
      </c>
      <c r="G5" s="21" t="s">
        <v>23</v>
      </c>
      <c r="H5" s="42" t="s">
        <v>25</v>
      </c>
      <c r="I5" s="21" t="s">
        <v>24</v>
      </c>
      <c r="J5" s="55" t="s">
        <v>26</v>
      </c>
      <c r="K5" s="42" t="s">
        <v>27</v>
      </c>
      <c r="L5" s="55" t="s">
        <v>28</v>
      </c>
      <c r="M5" s="42" t="s">
        <v>27</v>
      </c>
      <c r="N5" s="55" t="s">
        <v>24</v>
      </c>
      <c r="O5" s="55" t="s">
        <v>29</v>
      </c>
      <c r="P5" s="55" t="s">
        <v>30</v>
      </c>
      <c r="Q5" s="55" t="s">
        <v>24</v>
      </c>
      <c r="R5" s="55" t="s">
        <v>29</v>
      </c>
      <c r="S5" s="55" t="s">
        <v>30</v>
      </c>
      <c r="T5" s="55" t="s">
        <v>24</v>
      </c>
      <c r="U5" s="55" t="s">
        <v>29</v>
      </c>
      <c r="V5" s="55" t="s">
        <v>30</v>
      </c>
      <c r="W5" s="55" t="s">
        <v>31</v>
      </c>
      <c r="X5" s="22" t="s">
        <v>22</v>
      </c>
      <c r="Y5" s="22" t="s">
        <v>23</v>
      </c>
      <c r="Z5" s="22" t="s">
        <v>24</v>
      </c>
      <c r="AA5" s="22" t="s">
        <v>22</v>
      </c>
      <c r="AB5" s="42" t="s">
        <v>32</v>
      </c>
      <c r="AC5" s="42" t="s">
        <v>24</v>
      </c>
      <c r="AD5" s="55" t="s">
        <v>22</v>
      </c>
      <c r="AE5" s="42" t="s">
        <v>32</v>
      </c>
      <c r="AF5" s="42" t="s">
        <v>24</v>
      </c>
      <c r="AG5" s="102" t="s">
        <v>33</v>
      </c>
    </row>
    <row r="6" ht="20.25" spans="1:33">
      <c r="A6" s="25" t="s">
        <v>34</v>
      </c>
      <c r="B6" s="25"/>
      <c r="C6" s="26">
        <f>SUM(C7:C24)</f>
        <v>10.84</v>
      </c>
      <c r="D6" s="26">
        <f>SUM(D7:D24)</f>
        <v>19.65</v>
      </c>
      <c r="E6" s="26">
        <f>SUM(E7:E24)</f>
        <v>30.49</v>
      </c>
      <c r="F6" s="43">
        <v>3</v>
      </c>
      <c r="G6" s="43">
        <v>6</v>
      </c>
      <c r="H6" s="43">
        <f>SUM(H7:H24)</f>
        <v>1.14</v>
      </c>
      <c r="I6" s="43">
        <f t="shared" ref="I6:I11" si="0">F6+G6</f>
        <v>9</v>
      </c>
      <c r="J6" s="57">
        <f t="shared" ref="J6:J11" si="1">F6*K6</f>
        <v>6900</v>
      </c>
      <c r="K6" s="26">
        <v>2300</v>
      </c>
      <c r="L6" s="57">
        <f t="shared" ref="L6:L24" si="2">G6*M6</f>
        <v>10920</v>
      </c>
      <c r="M6" s="26">
        <v>1820</v>
      </c>
      <c r="N6" s="57">
        <f>SUM(N7:N24)</f>
        <v>17820</v>
      </c>
      <c r="O6" s="68">
        <v>400</v>
      </c>
      <c r="P6" s="68">
        <v>80</v>
      </c>
      <c r="Q6" s="68">
        <f>SUM(Q7:Q24)</f>
        <v>1680</v>
      </c>
      <c r="R6" s="68"/>
      <c r="S6" s="68"/>
      <c r="T6" s="78">
        <f>SUM(T9:T18)</f>
        <v>899</v>
      </c>
      <c r="U6" s="78"/>
      <c r="V6" s="78"/>
      <c r="W6" s="78">
        <f>800*2+500*1</f>
        <v>2100</v>
      </c>
      <c r="X6" s="81">
        <v>7.84</v>
      </c>
      <c r="Y6" s="81">
        <v>13.65</v>
      </c>
      <c r="Z6" s="81">
        <v>21.49</v>
      </c>
      <c r="AA6" s="90">
        <f>SUM(AA7:AA24)</f>
        <v>2.99</v>
      </c>
      <c r="AB6" s="90">
        <f>SUM(AB7:AB24)</f>
        <v>3.41</v>
      </c>
      <c r="AC6" s="43">
        <f t="shared" ref="AC6:AC8" si="3">AA6+AB6</f>
        <v>6.4</v>
      </c>
      <c r="AD6" s="57">
        <f>SUM(AD7:AD24)</f>
        <v>8670</v>
      </c>
      <c r="AE6" s="26">
        <f>SUM(AE7:AE24)</f>
        <v>6660</v>
      </c>
      <c r="AF6" s="26">
        <f>SUM(AF7:AF24)</f>
        <v>0</v>
      </c>
      <c r="AG6" s="26">
        <f>20000-X26</f>
        <v>15321</v>
      </c>
    </row>
    <row r="7" s="1" customFormat="true" ht="20.25" spans="1:33">
      <c r="A7" s="27">
        <v>1</v>
      </c>
      <c r="B7" s="27" t="s">
        <v>35</v>
      </c>
      <c r="C7" s="27">
        <v>0.12</v>
      </c>
      <c r="D7" s="27">
        <v>0.68</v>
      </c>
      <c r="E7" s="27">
        <f t="shared" ref="E7:E24" si="4">SUM(C7:D7)</f>
        <v>0.8</v>
      </c>
      <c r="F7" s="44">
        <v>0.03</v>
      </c>
      <c r="G7" s="44">
        <v>0.68</v>
      </c>
      <c r="H7" s="44"/>
      <c r="I7" s="44">
        <f t="shared" si="0"/>
        <v>0.71</v>
      </c>
      <c r="J7" s="58">
        <f t="shared" si="1"/>
        <v>69</v>
      </c>
      <c r="K7" s="27">
        <v>2300</v>
      </c>
      <c r="L7" s="58">
        <f t="shared" si="2"/>
        <v>1237.6</v>
      </c>
      <c r="M7" s="27">
        <v>1820</v>
      </c>
      <c r="N7" s="58">
        <f>+J7+L7</f>
        <v>1306.6</v>
      </c>
      <c r="O7" s="69">
        <v>400</v>
      </c>
      <c r="P7" s="69">
        <v>80</v>
      </c>
      <c r="Q7" s="69">
        <f>ROUND(F7*O7+G7*P7,0)</f>
        <v>66</v>
      </c>
      <c r="R7" s="69"/>
      <c r="S7" s="69"/>
      <c r="T7" s="58"/>
      <c r="U7" s="58"/>
      <c r="V7" s="58"/>
      <c r="W7" s="58"/>
      <c r="X7" s="82">
        <v>0.09</v>
      </c>
      <c r="Y7" s="82">
        <v>0</v>
      </c>
      <c r="Z7" s="82">
        <v>0.09</v>
      </c>
      <c r="AA7" s="91">
        <v>0.09</v>
      </c>
      <c r="AB7" s="44"/>
      <c r="AC7" s="44">
        <f t="shared" si="3"/>
        <v>0.09</v>
      </c>
      <c r="AD7" s="58">
        <f>AA7*2700</f>
        <v>243</v>
      </c>
      <c r="AE7" s="27"/>
      <c r="AF7" s="27"/>
      <c r="AG7" s="103">
        <v>240</v>
      </c>
    </row>
    <row r="8" s="1" customFormat="true" ht="20.25" spans="1:33">
      <c r="A8" s="27">
        <v>2</v>
      </c>
      <c r="B8" s="27" t="s">
        <v>36</v>
      </c>
      <c r="C8" s="27">
        <v>0.22</v>
      </c>
      <c r="D8" s="27">
        <v>0.33</v>
      </c>
      <c r="E8" s="27">
        <f t="shared" si="4"/>
        <v>0.55</v>
      </c>
      <c r="F8" s="44">
        <v>0.22</v>
      </c>
      <c r="G8" s="44">
        <v>0.08</v>
      </c>
      <c r="H8" s="44"/>
      <c r="I8" s="44">
        <f t="shared" si="0"/>
        <v>0.3</v>
      </c>
      <c r="J8" s="58">
        <f t="shared" si="1"/>
        <v>506</v>
      </c>
      <c r="K8" s="27">
        <v>2300</v>
      </c>
      <c r="L8" s="58">
        <f t="shared" si="2"/>
        <v>145.6</v>
      </c>
      <c r="M8" s="27">
        <v>1820</v>
      </c>
      <c r="N8" s="58">
        <f t="shared" ref="N8:N24" si="5">+J8+L8</f>
        <v>651.6</v>
      </c>
      <c r="O8" s="69">
        <v>400</v>
      </c>
      <c r="P8" s="69">
        <v>80</v>
      </c>
      <c r="Q8" s="69">
        <f>ROUND(F8*O8+G8*P8,0)</f>
        <v>94</v>
      </c>
      <c r="R8" s="69"/>
      <c r="S8" s="69"/>
      <c r="T8" s="58"/>
      <c r="U8" s="58"/>
      <c r="V8" s="58"/>
      <c r="W8" s="58"/>
      <c r="X8" s="82">
        <v>0</v>
      </c>
      <c r="Y8" s="82">
        <v>0.25</v>
      </c>
      <c r="Z8" s="82">
        <v>0.25</v>
      </c>
      <c r="AA8" s="91"/>
      <c r="AB8" s="44">
        <v>0.25</v>
      </c>
      <c r="AC8" s="44">
        <f t="shared" si="3"/>
        <v>0.25</v>
      </c>
      <c r="AD8" s="58"/>
      <c r="AE8" s="27">
        <f>AB8*1900</f>
        <v>475</v>
      </c>
      <c r="AF8" s="27"/>
      <c r="AG8" s="103">
        <v>470</v>
      </c>
    </row>
    <row r="9" s="2" customFormat="true" ht="20.25" spans="1:33">
      <c r="A9" s="28">
        <v>3</v>
      </c>
      <c r="B9" s="29" t="s">
        <v>37</v>
      </c>
      <c r="C9" s="28">
        <v>0.35</v>
      </c>
      <c r="D9" s="28">
        <v>2.06</v>
      </c>
      <c r="E9" s="28">
        <f t="shared" si="4"/>
        <v>2.41</v>
      </c>
      <c r="F9" s="45">
        <v>0.35</v>
      </c>
      <c r="G9" s="45"/>
      <c r="H9" s="45"/>
      <c r="I9" s="45">
        <f t="shared" si="0"/>
        <v>0.35</v>
      </c>
      <c r="J9" s="59">
        <f t="shared" si="1"/>
        <v>805</v>
      </c>
      <c r="K9" s="28">
        <v>2300</v>
      </c>
      <c r="L9" s="59">
        <f t="shared" si="2"/>
        <v>0</v>
      </c>
      <c r="M9" s="28">
        <v>1820</v>
      </c>
      <c r="N9" s="59">
        <f t="shared" si="5"/>
        <v>805</v>
      </c>
      <c r="O9" s="70">
        <v>400</v>
      </c>
      <c r="P9" s="70">
        <v>80</v>
      </c>
      <c r="Q9" s="70">
        <f t="shared" ref="Q7:Q11" si="6">ROUND(F9*O9+G9*P9,0)</f>
        <v>140</v>
      </c>
      <c r="R9" s="70">
        <v>300</v>
      </c>
      <c r="S9" s="70">
        <v>100</v>
      </c>
      <c r="T9" s="59">
        <f t="shared" ref="T9:T16" si="7">ROUND(F9*R9+G9*S9,0)</f>
        <v>105</v>
      </c>
      <c r="U9" s="59"/>
      <c r="V9" s="59"/>
      <c r="W9" s="59"/>
      <c r="X9" s="83">
        <v>0</v>
      </c>
      <c r="Y9" s="83">
        <v>2.06</v>
      </c>
      <c r="Z9" s="83">
        <v>2.06</v>
      </c>
      <c r="AA9" s="92"/>
      <c r="AB9" s="45">
        <v>0.5</v>
      </c>
      <c r="AC9" s="45">
        <f t="shared" ref="AC8:AC24" si="8">AA9+AB9</f>
        <v>0.5</v>
      </c>
      <c r="AD9" s="59"/>
      <c r="AE9" s="28">
        <f>AC9*2000</f>
        <v>1000</v>
      </c>
      <c r="AF9" s="28"/>
      <c r="AG9" s="104">
        <f>AD9+AE9</f>
        <v>1000</v>
      </c>
    </row>
    <row r="10" s="2" customFormat="true" ht="20.25" spans="1:33">
      <c r="A10" s="28">
        <v>4</v>
      </c>
      <c r="B10" s="29" t="s">
        <v>38</v>
      </c>
      <c r="C10" s="28">
        <v>0.89</v>
      </c>
      <c r="D10" s="28">
        <v>1.57</v>
      </c>
      <c r="E10" s="28">
        <f t="shared" si="4"/>
        <v>2.46</v>
      </c>
      <c r="F10" s="45">
        <v>0.19</v>
      </c>
      <c r="G10" s="45">
        <v>0.2</v>
      </c>
      <c r="H10" s="45">
        <v>0.19</v>
      </c>
      <c r="I10" s="45">
        <f t="shared" si="0"/>
        <v>0.39</v>
      </c>
      <c r="J10" s="59">
        <f t="shared" si="1"/>
        <v>437</v>
      </c>
      <c r="K10" s="28">
        <v>2300</v>
      </c>
      <c r="L10" s="59">
        <f t="shared" si="2"/>
        <v>364</v>
      </c>
      <c r="M10" s="28">
        <v>1820</v>
      </c>
      <c r="N10" s="59">
        <f t="shared" si="5"/>
        <v>801</v>
      </c>
      <c r="O10" s="70">
        <v>400</v>
      </c>
      <c r="P10" s="70">
        <v>80</v>
      </c>
      <c r="Q10" s="70">
        <f t="shared" si="6"/>
        <v>92</v>
      </c>
      <c r="R10" s="70">
        <v>300</v>
      </c>
      <c r="S10" s="70">
        <v>100</v>
      </c>
      <c r="T10" s="59">
        <f t="shared" si="7"/>
        <v>77</v>
      </c>
      <c r="U10" s="59"/>
      <c r="V10" s="59"/>
      <c r="W10" s="59"/>
      <c r="X10" s="83">
        <v>0.7</v>
      </c>
      <c r="Y10" s="83">
        <v>1.37</v>
      </c>
      <c r="Z10" s="83">
        <v>2.07</v>
      </c>
      <c r="AA10" s="92">
        <v>0.33</v>
      </c>
      <c r="AB10" s="45">
        <v>0.36</v>
      </c>
      <c r="AC10" s="45">
        <f t="shared" si="8"/>
        <v>0.69</v>
      </c>
      <c r="AD10" s="59">
        <f>AA10*3000</f>
        <v>990</v>
      </c>
      <c r="AE10" s="28">
        <f>AB10*2000</f>
        <v>720</v>
      </c>
      <c r="AF10" s="28"/>
      <c r="AG10" s="104">
        <f>AD10+AE10</f>
        <v>1710</v>
      </c>
    </row>
    <row r="11" s="3" customFormat="true" ht="20.25" spans="1:33">
      <c r="A11" s="30">
        <v>5</v>
      </c>
      <c r="B11" s="30" t="s">
        <v>39</v>
      </c>
      <c r="C11" s="30">
        <v>0.25</v>
      </c>
      <c r="D11" s="30">
        <v>0.6</v>
      </c>
      <c r="E11" s="30">
        <f t="shared" si="4"/>
        <v>0.85</v>
      </c>
      <c r="F11" s="46">
        <v>0.12</v>
      </c>
      <c r="G11" s="46"/>
      <c r="H11" s="46"/>
      <c r="I11" s="46">
        <f t="shared" si="0"/>
        <v>0.12</v>
      </c>
      <c r="J11" s="60">
        <f t="shared" si="1"/>
        <v>276</v>
      </c>
      <c r="K11" s="30">
        <v>2300</v>
      </c>
      <c r="L11" s="60">
        <f t="shared" si="2"/>
        <v>0</v>
      </c>
      <c r="M11" s="30">
        <v>1820</v>
      </c>
      <c r="N11" s="60">
        <f t="shared" si="5"/>
        <v>276</v>
      </c>
      <c r="O11" s="71">
        <v>400</v>
      </c>
      <c r="P11" s="71">
        <v>80</v>
      </c>
      <c r="Q11" s="71">
        <f t="shared" si="6"/>
        <v>48</v>
      </c>
      <c r="R11" s="71"/>
      <c r="S11" s="71"/>
      <c r="T11" s="60"/>
      <c r="U11" s="60"/>
      <c r="V11" s="60"/>
      <c r="W11" s="60"/>
      <c r="X11" s="84">
        <v>0.13</v>
      </c>
      <c r="Y11" s="84">
        <v>0.6</v>
      </c>
      <c r="Z11" s="84">
        <v>0.73</v>
      </c>
      <c r="AA11" s="93"/>
      <c r="AB11" s="46">
        <v>0.6</v>
      </c>
      <c r="AC11" s="46">
        <f t="shared" si="8"/>
        <v>0.6</v>
      </c>
      <c r="AD11" s="60"/>
      <c r="AE11" s="30">
        <f>AB11*1900</f>
        <v>1140</v>
      </c>
      <c r="AF11" s="30"/>
      <c r="AG11" s="105">
        <f>AD11+AE11</f>
        <v>1140</v>
      </c>
    </row>
    <row r="12" s="3" customFormat="true" ht="20.25" spans="1:33">
      <c r="A12" s="30">
        <v>6</v>
      </c>
      <c r="B12" s="30" t="s">
        <v>40</v>
      </c>
      <c r="C12" s="30">
        <v>2</v>
      </c>
      <c r="D12" s="30">
        <v>1</v>
      </c>
      <c r="E12" s="30">
        <f t="shared" si="4"/>
        <v>3</v>
      </c>
      <c r="F12" s="46" t="s">
        <v>41</v>
      </c>
      <c r="G12" s="46"/>
      <c r="H12" s="46"/>
      <c r="I12" s="46"/>
      <c r="J12" s="60">
        <v>0</v>
      </c>
      <c r="K12" s="30">
        <v>2300</v>
      </c>
      <c r="L12" s="60">
        <f t="shared" si="2"/>
        <v>0</v>
      </c>
      <c r="M12" s="30">
        <v>1820</v>
      </c>
      <c r="N12" s="60">
        <f t="shared" si="5"/>
        <v>0</v>
      </c>
      <c r="O12" s="71">
        <v>400</v>
      </c>
      <c r="P12" s="71">
        <v>80</v>
      </c>
      <c r="Q12" s="71"/>
      <c r="R12" s="71"/>
      <c r="S12" s="71"/>
      <c r="T12" s="60"/>
      <c r="U12" s="60">
        <v>800</v>
      </c>
      <c r="V12" s="60">
        <v>500</v>
      </c>
      <c r="W12" s="60">
        <v>2100</v>
      </c>
      <c r="X12" s="84">
        <v>2</v>
      </c>
      <c r="Y12" s="84">
        <v>1</v>
      </c>
      <c r="Z12" s="84">
        <v>3</v>
      </c>
      <c r="AA12" s="93"/>
      <c r="AB12" s="46"/>
      <c r="AC12" s="46"/>
      <c r="AD12" s="60"/>
      <c r="AE12" s="30"/>
      <c r="AF12" s="30"/>
      <c r="AG12" s="105"/>
    </row>
    <row r="13" s="1" customFormat="true" ht="20.25" spans="1:33">
      <c r="A13" s="27">
        <v>7</v>
      </c>
      <c r="B13" s="31" t="s">
        <v>42</v>
      </c>
      <c r="C13" s="27">
        <v>1.07</v>
      </c>
      <c r="D13" s="27">
        <v>2.88</v>
      </c>
      <c r="E13" s="27">
        <f t="shared" si="4"/>
        <v>3.95</v>
      </c>
      <c r="F13" s="44"/>
      <c r="G13" s="44">
        <v>0.43</v>
      </c>
      <c r="H13" s="44"/>
      <c r="I13" s="44">
        <f t="shared" ref="I13:I24" si="9">F13+G13</f>
        <v>0.43</v>
      </c>
      <c r="J13" s="58">
        <f t="shared" ref="J13:J24" si="10">F13*K13</f>
        <v>0</v>
      </c>
      <c r="K13" s="27">
        <v>2300</v>
      </c>
      <c r="L13" s="58">
        <f t="shared" si="2"/>
        <v>782.6</v>
      </c>
      <c r="M13" s="27">
        <v>1820</v>
      </c>
      <c r="N13" s="58">
        <f t="shared" si="5"/>
        <v>782.6</v>
      </c>
      <c r="O13" s="69">
        <v>400</v>
      </c>
      <c r="P13" s="69">
        <v>80</v>
      </c>
      <c r="Q13" s="69">
        <f>ROUND(F13*O13+G13*P13,0)</f>
        <v>34</v>
      </c>
      <c r="R13" s="69">
        <v>300</v>
      </c>
      <c r="S13" s="69">
        <v>100</v>
      </c>
      <c r="T13" s="58">
        <f t="shared" si="7"/>
        <v>43</v>
      </c>
      <c r="U13" s="58"/>
      <c r="V13" s="58"/>
      <c r="W13" s="58"/>
      <c r="X13" s="82">
        <v>1.07</v>
      </c>
      <c r="Y13" s="82">
        <v>2.45</v>
      </c>
      <c r="Z13" s="82">
        <v>3.52</v>
      </c>
      <c r="AA13" s="91">
        <v>0.44</v>
      </c>
      <c r="AB13" s="44"/>
      <c r="AC13" s="44">
        <f t="shared" si="8"/>
        <v>0.44</v>
      </c>
      <c r="AD13" s="58">
        <f>AA13*3000</f>
        <v>1320</v>
      </c>
      <c r="AE13" s="27"/>
      <c r="AF13" s="27"/>
      <c r="AG13" s="103">
        <f t="shared" ref="AG13:AG24" si="11">AD13+AE13</f>
        <v>1320</v>
      </c>
    </row>
    <row r="14" s="1" customFormat="true" ht="20.25" spans="1:33">
      <c r="A14" s="27">
        <v>8</v>
      </c>
      <c r="B14" s="31" t="s">
        <v>43</v>
      </c>
      <c r="C14" s="27">
        <v>0.56</v>
      </c>
      <c r="D14" s="27">
        <v>0.81</v>
      </c>
      <c r="E14" s="27">
        <f t="shared" si="4"/>
        <v>1.37</v>
      </c>
      <c r="F14" s="44">
        <v>0.29</v>
      </c>
      <c r="G14" s="44"/>
      <c r="H14" s="44"/>
      <c r="I14" s="44">
        <f t="shared" si="9"/>
        <v>0.29</v>
      </c>
      <c r="J14" s="58">
        <f t="shared" si="10"/>
        <v>667</v>
      </c>
      <c r="K14" s="27">
        <v>2300</v>
      </c>
      <c r="L14" s="58">
        <f t="shared" si="2"/>
        <v>0</v>
      </c>
      <c r="M14" s="27">
        <v>1820</v>
      </c>
      <c r="N14" s="58">
        <f t="shared" si="5"/>
        <v>667</v>
      </c>
      <c r="O14" s="69">
        <v>400</v>
      </c>
      <c r="P14" s="69">
        <v>80</v>
      </c>
      <c r="Q14" s="69">
        <f t="shared" ref="Q13:Q24" si="12">ROUND(F14*O14+G14*P14,0)</f>
        <v>116</v>
      </c>
      <c r="R14" s="69">
        <v>300</v>
      </c>
      <c r="S14" s="69">
        <v>100</v>
      </c>
      <c r="T14" s="58">
        <f t="shared" si="7"/>
        <v>87</v>
      </c>
      <c r="U14" s="58"/>
      <c r="V14" s="58"/>
      <c r="W14" s="58"/>
      <c r="X14" s="82">
        <v>0.27</v>
      </c>
      <c r="Y14" s="82">
        <v>0.81</v>
      </c>
      <c r="Z14" s="82">
        <v>1.08</v>
      </c>
      <c r="AA14" s="91">
        <v>0.23</v>
      </c>
      <c r="AB14" s="44"/>
      <c r="AC14" s="44">
        <f t="shared" si="8"/>
        <v>0.23</v>
      </c>
      <c r="AD14" s="58">
        <f>AA14*3000</f>
        <v>690</v>
      </c>
      <c r="AE14" s="27"/>
      <c r="AF14" s="27"/>
      <c r="AG14" s="103">
        <f t="shared" si="11"/>
        <v>690</v>
      </c>
    </row>
    <row r="15" s="4" customFormat="true" ht="20.25" spans="1:33">
      <c r="A15" s="32">
        <v>9</v>
      </c>
      <c r="B15" s="33" t="s">
        <v>44</v>
      </c>
      <c r="C15" s="32">
        <v>1.47</v>
      </c>
      <c r="D15" s="32">
        <v>1.55</v>
      </c>
      <c r="E15" s="32">
        <f t="shared" si="4"/>
        <v>3.02</v>
      </c>
      <c r="F15" s="47">
        <v>0.98</v>
      </c>
      <c r="G15" s="47">
        <v>1.52</v>
      </c>
      <c r="H15" s="47"/>
      <c r="I15" s="47">
        <f t="shared" si="9"/>
        <v>2.5</v>
      </c>
      <c r="J15" s="61">
        <f t="shared" si="10"/>
        <v>2254</v>
      </c>
      <c r="K15" s="32">
        <v>2300</v>
      </c>
      <c r="L15" s="61">
        <f t="shared" si="2"/>
        <v>2766.4</v>
      </c>
      <c r="M15" s="32">
        <v>1820</v>
      </c>
      <c r="N15" s="61">
        <f t="shared" si="5"/>
        <v>5020.4</v>
      </c>
      <c r="O15" s="72">
        <v>400</v>
      </c>
      <c r="P15" s="72">
        <v>80</v>
      </c>
      <c r="Q15" s="72">
        <f t="shared" si="12"/>
        <v>514</v>
      </c>
      <c r="R15" s="72">
        <v>300</v>
      </c>
      <c r="S15" s="72">
        <v>100</v>
      </c>
      <c r="T15" s="61">
        <f t="shared" si="7"/>
        <v>446</v>
      </c>
      <c r="U15" s="61"/>
      <c r="V15" s="61"/>
      <c r="W15" s="61"/>
      <c r="X15" s="85">
        <v>0.49</v>
      </c>
      <c r="Y15" s="85">
        <v>0.03</v>
      </c>
      <c r="Z15" s="85">
        <v>0.52</v>
      </c>
      <c r="AA15" s="94">
        <v>0.49</v>
      </c>
      <c r="AB15" s="47"/>
      <c r="AC15" s="47">
        <f t="shared" si="8"/>
        <v>0.49</v>
      </c>
      <c r="AD15" s="61">
        <f>AA15*3000</f>
        <v>1470</v>
      </c>
      <c r="AE15" s="32"/>
      <c r="AF15" s="32"/>
      <c r="AG15" s="106">
        <f t="shared" si="11"/>
        <v>1470</v>
      </c>
    </row>
    <row r="16" s="4" customFormat="true" ht="20.25" spans="1:33">
      <c r="A16" s="32">
        <v>10</v>
      </c>
      <c r="B16" s="33" t="s">
        <v>45</v>
      </c>
      <c r="C16" s="32">
        <v>0.61</v>
      </c>
      <c r="D16" s="32">
        <v>0.78</v>
      </c>
      <c r="E16" s="32">
        <f t="shared" si="4"/>
        <v>1.39</v>
      </c>
      <c r="F16" s="47">
        <v>0.1</v>
      </c>
      <c r="G16" s="47">
        <v>0.16</v>
      </c>
      <c r="H16" s="47"/>
      <c r="I16" s="47">
        <f t="shared" si="9"/>
        <v>0.26</v>
      </c>
      <c r="J16" s="61">
        <f t="shared" si="10"/>
        <v>230</v>
      </c>
      <c r="K16" s="32">
        <v>2300</v>
      </c>
      <c r="L16" s="61">
        <f t="shared" si="2"/>
        <v>291.2</v>
      </c>
      <c r="M16" s="32">
        <v>1820</v>
      </c>
      <c r="N16" s="61">
        <f t="shared" si="5"/>
        <v>521.2</v>
      </c>
      <c r="O16" s="72">
        <v>400</v>
      </c>
      <c r="P16" s="72">
        <v>80</v>
      </c>
      <c r="Q16" s="72">
        <f t="shared" si="12"/>
        <v>53</v>
      </c>
      <c r="R16" s="72">
        <v>300</v>
      </c>
      <c r="S16" s="72">
        <v>100</v>
      </c>
      <c r="T16" s="61">
        <f t="shared" si="7"/>
        <v>46</v>
      </c>
      <c r="U16" s="61"/>
      <c r="V16" s="61"/>
      <c r="W16" s="61"/>
      <c r="X16" s="85">
        <v>0.51</v>
      </c>
      <c r="Y16" s="85">
        <v>0.62</v>
      </c>
      <c r="Z16" s="85">
        <v>1.13</v>
      </c>
      <c r="AA16" s="94">
        <v>0.2</v>
      </c>
      <c r="AB16" s="47"/>
      <c r="AC16" s="47">
        <f t="shared" si="8"/>
        <v>0.2</v>
      </c>
      <c r="AD16" s="61">
        <f>0.2*3000</f>
        <v>600</v>
      </c>
      <c r="AE16" s="32"/>
      <c r="AF16" s="32"/>
      <c r="AG16" s="106">
        <f t="shared" si="11"/>
        <v>600</v>
      </c>
    </row>
    <row r="17" s="5" customFormat="true" ht="20.25" spans="1:33">
      <c r="A17" s="34">
        <v>11</v>
      </c>
      <c r="B17" s="34" t="s">
        <v>46</v>
      </c>
      <c r="C17" s="34">
        <v>0.7</v>
      </c>
      <c r="D17" s="34">
        <v>2.13</v>
      </c>
      <c r="E17" s="34">
        <f t="shared" si="4"/>
        <v>2.83</v>
      </c>
      <c r="F17" s="48">
        <v>0.5</v>
      </c>
      <c r="G17" s="48"/>
      <c r="H17" s="48"/>
      <c r="I17" s="48">
        <f t="shared" si="9"/>
        <v>0.5</v>
      </c>
      <c r="J17" s="62">
        <f t="shared" si="10"/>
        <v>1150</v>
      </c>
      <c r="K17" s="34">
        <v>2300</v>
      </c>
      <c r="L17" s="62">
        <f t="shared" si="2"/>
        <v>0</v>
      </c>
      <c r="M17" s="34">
        <v>1820</v>
      </c>
      <c r="N17" s="62">
        <f t="shared" si="5"/>
        <v>1150</v>
      </c>
      <c r="O17" s="73">
        <v>400</v>
      </c>
      <c r="P17" s="73">
        <v>80</v>
      </c>
      <c r="Q17" s="73">
        <f t="shared" si="12"/>
        <v>200</v>
      </c>
      <c r="R17" s="73"/>
      <c r="S17" s="73"/>
      <c r="T17" s="62"/>
      <c r="U17" s="62"/>
      <c r="V17" s="62"/>
      <c r="W17" s="62"/>
      <c r="X17" s="86">
        <v>0.2</v>
      </c>
      <c r="Y17" s="86">
        <v>2.13</v>
      </c>
      <c r="Z17" s="86">
        <v>2.33</v>
      </c>
      <c r="AA17" s="95">
        <v>0.2</v>
      </c>
      <c r="AB17" s="48"/>
      <c r="AC17" s="48">
        <f t="shared" si="8"/>
        <v>0.2</v>
      </c>
      <c r="AD17" s="62">
        <f>AA17*2700</f>
        <v>540</v>
      </c>
      <c r="AE17" s="34"/>
      <c r="AF17" s="34"/>
      <c r="AG17" s="107">
        <f t="shared" si="11"/>
        <v>540</v>
      </c>
    </row>
    <row r="18" s="5" customFormat="true" ht="20.25" spans="1:33">
      <c r="A18" s="34">
        <v>12</v>
      </c>
      <c r="B18" s="35" t="s">
        <v>47</v>
      </c>
      <c r="C18" s="34">
        <v>1.25</v>
      </c>
      <c r="D18" s="34">
        <v>1.9</v>
      </c>
      <c r="E18" s="34">
        <f t="shared" si="4"/>
        <v>3.15</v>
      </c>
      <c r="F18" s="48"/>
      <c r="G18" s="48">
        <v>0.95</v>
      </c>
      <c r="H18" s="48">
        <v>0.95</v>
      </c>
      <c r="I18" s="48">
        <f t="shared" si="9"/>
        <v>0.95</v>
      </c>
      <c r="J18" s="62">
        <f t="shared" si="10"/>
        <v>0</v>
      </c>
      <c r="K18" s="34">
        <v>2300</v>
      </c>
      <c r="L18" s="62">
        <f t="shared" si="2"/>
        <v>1729</v>
      </c>
      <c r="M18" s="34">
        <v>1820</v>
      </c>
      <c r="N18" s="62">
        <f t="shared" si="5"/>
        <v>1729</v>
      </c>
      <c r="O18" s="73">
        <v>400</v>
      </c>
      <c r="P18" s="73">
        <v>80</v>
      </c>
      <c r="Q18" s="73">
        <f t="shared" si="12"/>
        <v>76</v>
      </c>
      <c r="R18" s="73">
        <v>300</v>
      </c>
      <c r="S18" s="73">
        <v>100</v>
      </c>
      <c r="T18" s="62">
        <f>ROUND(F18*R18+G18*S18,0)</f>
        <v>95</v>
      </c>
      <c r="U18" s="62"/>
      <c r="V18" s="62"/>
      <c r="W18" s="62"/>
      <c r="X18" s="86">
        <v>1.25</v>
      </c>
      <c r="Y18" s="86">
        <v>0.95</v>
      </c>
      <c r="Z18" s="86">
        <v>2.2</v>
      </c>
      <c r="AA18" s="95">
        <v>0.3</v>
      </c>
      <c r="AB18" s="48">
        <v>0.95</v>
      </c>
      <c r="AC18" s="48">
        <f t="shared" si="8"/>
        <v>1.25</v>
      </c>
      <c r="AD18" s="62">
        <f>AA18*3000</f>
        <v>900</v>
      </c>
      <c r="AE18" s="34">
        <f>AB18*2000</f>
        <v>1900</v>
      </c>
      <c r="AF18" s="34"/>
      <c r="AG18" s="107">
        <f t="shared" si="11"/>
        <v>2800</v>
      </c>
    </row>
    <row r="19" s="6" customFormat="true" ht="20.25" spans="1:33">
      <c r="A19" s="36">
        <v>13</v>
      </c>
      <c r="B19" s="36" t="s">
        <v>48</v>
      </c>
      <c r="C19" s="36">
        <v>0.71</v>
      </c>
      <c r="D19" s="36">
        <v>0.92</v>
      </c>
      <c r="E19" s="36">
        <f t="shared" si="4"/>
        <v>1.63</v>
      </c>
      <c r="F19" s="49"/>
      <c r="G19" s="49">
        <v>0.92</v>
      </c>
      <c r="H19" s="49"/>
      <c r="I19" s="49">
        <f t="shared" si="9"/>
        <v>0.92</v>
      </c>
      <c r="J19" s="63">
        <f t="shared" si="10"/>
        <v>0</v>
      </c>
      <c r="K19" s="36">
        <v>2300</v>
      </c>
      <c r="L19" s="63">
        <f t="shared" si="2"/>
        <v>1674.4</v>
      </c>
      <c r="M19" s="36">
        <v>1820</v>
      </c>
      <c r="N19" s="63">
        <f t="shared" si="5"/>
        <v>1674.4</v>
      </c>
      <c r="O19" s="74">
        <v>400</v>
      </c>
      <c r="P19" s="74">
        <v>80</v>
      </c>
      <c r="Q19" s="74">
        <f t="shared" si="12"/>
        <v>74</v>
      </c>
      <c r="R19" s="74"/>
      <c r="S19" s="74"/>
      <c r="T19" s="63"/>
      <c r="U19" s="63"/>
      <c r="V19" s="63"/>
      <c r="W19" s="63"/>
      <c r="X19" s="87">
        <v>0.71</v>
      </c>
      <c r="Y19" s="87">
        <v>0</v>
      </c>
      <c r="Z19" s="87">
        <v>0.71</v>
      </c>
      <c r="AA19" s="96">
        <v>0.71</v>
      </c>
      <c r="AB19" s="49"/>
      <c r="AC19" s="49">
        <f t="shared" si="8"/>
        <v>0.71</v>
      </c>
      <c r="AD19" s="63">
        <f>AA19*2700</f>
        <v>1917</v>
      </c>
      <c r="AE19" s="36"/>
      <c r="AF19" s="36"/>
      <c r="AG19" s="108">
        <v>1916</v>
      </c>
    </row>
    <row r="20" s="6" customFormat="true" ht="20.25" spans="1:33">
      <c r="A20" s="36">
        <v>14</v>
      </c>
      <c r="B20" s="36" t="s">
        <v>49</v>
      </c>
      <c r="C20" s="36"/>
      <c r="D20" s="36">
        <v>0.46</v>
      </c>
      <c r="E20" s="36">
        <f t="shared" si="4"/>
        <v>0.46</v>
      </c>
      <c r="F20" s="49"/>
      <c r="G20" s="49">
        <v>0.46</v>
      </c>
      <c r="H20" s="49"/>
      <c r="I20" s="49">
        <f t="shared" si="9"/>
        <v>0.46</v>
      </c>
      <c r="J20" s="63">
        <f t="shared" si="10"/>
        <v>0</v>
      </c>
      <c r="K20" s="36">
        <v>2300</v>
      </c>
      <c r="L20" s="63">
        <f t="shared" si="2"/>
        <v>837.2</v>
      </c>
      <c r="M20" s="36">
        <v>1820</v>
      </c>
      <c r="N20" s="63">
        <f t="shared" si="5"/>
        <v>837.2</v>
      </c>
      <c r="O20" s="74">
        <v>400</v>
      </c>
      <c r="P20" s="74">
        <v>80</v>
      </c>
      <c r="Q20" s="74">
        <f t="shared" si="12"/>
        <v>37</v>
      </c>
      <c r="R20" s="74"/>
      <c r="S20" s="74"/>
      <c r="T20" s="63"/>
      <c r="U20" s="63"/>
      <c r="V20" s="63"/>
      <c r="W20" s="63"/>
      <c r="X20" s="87">
        <v>0</v>
      </c>
      <c r="Y20" s="87">
        <v>0</v>
      </c>
      <c r="Z20" s="87">
        <v>0</v>
      </c>
      <c r="AA20" s="96"/>
      <c r="AB20" s="49"/>
      <c r="AC20" s="49"/>
      <c r="AD20" s="63"/>
      <c r="AE20" s="36"/>
      <c r="AF20" s="36"/>
      <c r="AG20" s="108"/>
    </row>
    <row r="21" s="7" customFormat="true" ht="20.25" spans="1:33">
      <c r="A21" s="37">
        <v>15</v>
      </c>
      <c r="B21" s="37" t="s">
        <v>50</v>
      </c>
      <c r="C21" s="37">
        <v>0.35</v>
      </c>
      <c r="D21" s="37">
        <v>1.5</v>
      </c>
      <c r="E21" s="37">
        <f t="shared" si="4"/>
        <v>1.85</v>
      </c>
      <c r="F21" s="50"/>
      <c r="G21" s="50">
        <v>0.5</v>
      </c>
      <c r="H21" s="50"/>
      <c r="I21" s="50">
        <f t="shared" si="9"/>
        <v>0.5</v>
      </c>
      <c r="J21" s="64">
        <f t="shared" si="10"/>
        <v>0</v>
      </c>
      <c r="K21" s="37">
        <v>2300</v>
      </c>
      <c r="L21" s="64">
        <f t="shared" si="2"/>
        <v>910</v>
      </c>
      <c r="M21" s="37">
        <v>1820</v>
      </c>
      <c r="N21" s="64">
        <f t="shared" si="5"/>
        <v>910</v>
      </c>
      <c r="O21" s="75">
        <v>400</v>
      </c>
      <c r="P21" s="75">
        <v>80</v>
      </c>
      <c r="Q21" s="75">
        <f t="shared" si="12"/>
        <v>40</v>
      </c>
      <c r="R21" s="75"/>
      <c r="S21" s="75"/>
      <c r="T21" s="64"/>
      <c r="U21" s="64"/>
      <c r="V21" s="64"/>
      <c r="W21" s="64"/>
      <c r="X21" s="88">
        <v>0.35</v>
      </c>
      <c r="Y21" s="88">
        <v>1</v>
      </c>
      <c r="Z21" s="88">
        <v>1.35</v>
      </c>
      <c r="AA21" s="97"/>
      <c r="AB21" s="50">
        <v>0.45</v>
      </c>
      <c r="AC21" s="50">
        <f>AA21+AB21</f>
        <v>0.45</v>
      </c>
      <c r="AD21" s="64"/>
      <c r="AE21" s="37">
        <f>AB21*1900</f>
        <v>855</v>
      </c>
      <c r="AF21" s="37"/>
      <c r="AG21" s="109">
        <f t="shared" si="11"/>
        <v>855</v>
      </c>
    </row>
    <row r="22" s="7" customFormat="true" ht="20.25" spans="1:33">
      <c r="A22" s="37">
        <v>16</v>
      </c>
      <c r="B22" s="37" t="s">
        <v>51</v>
      </c>
      <c r="C22" s="37">
        <v>0.05</v>
      </c>
      <c r="D22" s="37">
        <v>0.1</v>
      </c>
      <c r="E22" s="37">
        <f t="shared" si="4"/>
        <v>0.15</v>
      </c>
      <c r="F22" s="50"/>
      <c r="G22" s="50">
        <v>0.1</v>
      </c>
      <c r="H22" s="50"/>
      <c r="I22" s="50">
        <f t="shared" si="9"/>
        <v>0.1</v>
      </c>
      <c r="J22" s="64">
        <f t="shared" si="10"/>
        <v>0</v>
      </c>
      <c r="K22" s="37">
        <v>2300</v>
      </c>
      <c r="L22" s="64">
        <f t="shared" si="2"/>
        <v>182</v>
      </c>
      <c r="M22" s="37">
        <v>1820</v>
      </c>
      <c r="N22" s="64">
        <f t="shared" si="5"/>
        <v>182</v>
      </c>
      <c r="O22" s="75">
        <v>400</v>
      </c>
      <c r="P22" s="75">
        <v>80</v>
      </c>
      <c r="Q22" s="75">
        <f t="shared" si="12"/>
        <v>8</v>
      </c>
      <c r="R22" s="75"/>
      <c r="S22" s="75"/>
      <c r="T22" s="64"/>
      <c r="U22" s="64"/>
      <c r="V22" s="64"/>
      <c r="W22" s="64"/>
      <c r="X22" s="88">
        <v>0.05</v>
      </c>
      <c r="Y22" s="88">
        <v>0</v>
      </c>
      <c r="Z22" s="88">
        <v>0.05</v>
      </c>
      <c r="AA22" s="97"/>
      <c r="AB22" s="50"/>
      <c r="AC22" s="50"/>
      <c r="AD22" s="64"/>
      <c r="AE22" s="37"/>
      <c r="AF22" s="37"/>
      <c r="AG22" s="109"/>
    </row>
    <row r="23" s="8" customFormat="true" ht="20.25" spans="1:33">
      <c r="A23" s="38">
        <v>17</v>
      </c>
      <c r="B23" s="38" t="s">
        <v>52</v>
      </c>
      <c r="C23" s="38">
        <v>0.12</v>
      </c>
      <c r="D23" s="38">
        <v>0.3</v>
      </c>
      <c r="E23" s="38">
        <f t="shared" si="4"/>
        <v>0.42</v>
      </c>
      <c r="F23" s="51">
        <v>0.1</v>
      </c>
      <c r="G23" s="51"/>
      <c r="H23" s="51"/>
      <c r="I23" s="51">
        <f t="shared" si="9"/>
        <v>0.1</v>
      </c>
      <c r="J23" s="65">
        <f t="shared" si="10"/>
        <v>230</v>
      </c>
      <c r="K23" s="38">
        <v>2300</v>
      </c>
      <c r="L23" s="65">
        <f t="shared" si="2"/>
        <v>0</v>
      </c>
      <c r="M23" s="38">
        <v>1820</v>
      </c>
      <c r="N23" s="65">
        <f t="shared" si="5"/>
        <v>230</v>
      </c>
      <c r="O23" s="76">
        <v>400</v>
      </c>
      <c r="P23" s="76">
        <v>80</v>
      </c>
      <c r="Q23" s="76">
        <f t="shared" si="12"/>
        <v>40</v>
      </c>
      <c r="R23" s="76"/>
      <c r="S23" s="76"/>
      <c r="T23" s="65"/>
      <c r="U23" s="65"/>
      <c r="V23" s="65"/>
      <c r="W23" s="65"/>
      <c r="X23" s="89">
        <v>0.02</v>
      </c>
      <c r="Y23" s="89">
        <v>0.3</v>
      </c>
      <c r="Z23" s="89">
        <v>0.32</v>
      </c>
      <c r="AA23" s="98"/>
      <c r="AB23" s="51">
        <v>0.3</v>
      </c>
      <c r="AC23" s="51">
        <f t="shared" si="8"/>
        <v>0.3</v>
      </c>
      <c r="AD23" s="65"/>
      <c r="AE23" s="38">
        <f>AC23*1900</f>
        <v>570</v>
      </c>
      <c r="AF23" s="38"/>
      <c r="AG23" s="110">
        <f t="shared" si="11"/>
        <v>570</v>
      </c>
    </row>
    <row r="24" s="8" customFormat="true" ht="20.25" spans="1:33">
      <c r="A24" s="38">
        <v>18</v>
      </c>
      <c r="B24" s="38" t="s">
        <v>53</v>
      </c>
      <c r="C24" s="38">
        <v>0.12</v>
      </c>
      <c r="D24" s="38">
        <v>0.08</v>
      </c>
      <c r="E24" s="38">
        <f t="shared" si="4"/>
        <v>0.2</v>
      </c>
      <c r="F24" s="51">
        <v>0.12</v>
      </c>
      <c r="G24" s="51"/>
      <c r="H24" s="51"/>
      <c r="I24" s="51">
        <f t="shared" si="9"/>
        <v>0.12</v>
      </c>
      <c r="J24" s="65">
        <f t="shared" si="10"/>
        <v>276</v>
      </c>
      <c r="K24" s="38">
        <v>2300</v>
      </c>
      <c r="L24" s="65">
        <f t="shared" si="2"/>
        <v>0</v>
      </c>
      <c r="M24" s="38">
        <v>1820</v>
      </c>
      <c r="N24" s="65">
        <f t="shared" si="5"/>
        <v>276</v>
      </c>
      <c r="O24" s="76">
        <v>400</v>
      </c>
      <c r="P24" s="76">
        <v>80</v>
      </c>
      <c r="Q24" s="76">
        <f t="shared" si="12"/>
        <v>48</v>
      </c>
      <c r="R24" s="76"/>
      <c r="S24" s="76"/>
      <c r="T24" s="65"/>
      <c r="U24" s="65"/>
      <c r="V24" s="65"/>
      <c r="W24" s="65"/>
      <c r="X24" s="89">
        <v>0</v>
      </c>
      <c r="Y24" s="89">
        <v>0.08</v>
      </c>
      <c r="Z24" s="89">
        <v>0.08</v>
      </c>
      <c r="AA24" s="98"/>
      <c r="AB24" s="51"/>
      <c r="AC24" s="51"/>
      <c r="AD24" s="65"/>
      <c r="AE24" s="38"/>
      <c r="AF24" s="38"/>
      <c r="AG24" s="110"/>
    </row>
    <row r="25" customFormat="true" ht="20.25" spans="1:33">
      <c r="A25" s="39"/>
      <c r="B25" s="39"/>
      <c r="C25" s="40"/>
      <c r="D25" s="40"/>
      <c r="E25" s="40"/>
      <c r="F25" s="52"/>
      <c r="G25" s="52"/>
      <c r="H25" s="52"/>
      <c r="I25" s="52"/>
      <c r="J25" s="66"/>
      <c r="K25" s="39"/>
      <c r="L25" s="66"/>
      <c r="M25" s="39"/>
      <c r="N25" s="66"/>
      <c r="O25" s="77"/>
      <c r="P25" s="77"/>
      <c r="Q25" s="77"/>
      <c r="R25" s="77"/>
      <c r="S25" s="77"/>
      <c r="T25" s="66"/>
      <c r="U25" s="66"/>
      <c r="V25" s="66"/>
      <c r="W25" s="66"/>
      <c r="X25" s="40"/>
      <c r="Y25" s="40"/>
      <c r="Z25" s="40"/>
      <c r="AA25" s="99"/>
      <c r="AB25" s="100"/>
      <c r="AC25" s="100"/>
      <c r="AD25" s="101"/>
      <c r="AG25" s="17">
        <f>SUM(AG7:AG24)</f>
        <v>15321</v>
      </c>
    </row>
    <row r="26" spans="24:26">
      <c r="X26" s="14">
        <f>Q6+T6+W6</f>
        <v>4679</v>
      </c>
      <c r="Z26" s="15">
        <f>AG25+X26</f>
        <v>20000</v>
      </c>
    </row>
    <row r="27" spans="17:17">
      <c r="Q27" s="12">
        <f>Q6+T6</f>
        <v>2579</v>
      </c>
    </row>
  </sheetData>
  <mergeCells count="16">
    <mergeCell ref="A2:AF2"/>
    <mergeCell ref="C3:E3"/>
    <mergeCell ref="C4:E4"/>
    <mergeCell ref="F4:I4"/>
    <mergeCell ref="J4:N4"/>
    <mergeCell ref="O4:Q4"/>
    <mergeCell ref="R4:T4"/>
    <mergeCell ref="U4:W4"/>
    <mergeCell ref="X4:Z4"/>
    <mergeCell ref="AA4:AC4"/>
    <mergeCell ref="AD4:AG4"/>
    <mergeCell ref="A6:B6"/>
    <mergeCell ref="F12:I12"/>
    <mergeCell ref="AA25:AD25"/>
    <mergeCell ref="A4:A5"/>
    <mergeCell ref="B4:B5"/>
  </mergeCells>
  <printOptions horizontalCentered="true"/>
  <pageMargins left="0.0784722222222222" right="0.0784722222222222" top="0.393055555555556" bottom="0.393055555555556" header="0.5" footer="0.5"/>
  <pageSetup paperSize="8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本次下达资金表</vt:lpstr>
      <vt:lpstr>任务安排表（定）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2018-06-14T03:28:00Z</dcterms:created>
  <dcterms:modified xsi:type="dcterms:W3CDTF">2026-06-08T18:05:35Z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26456C6FDB224477721B0C6AF1BF8729_43</vt:lpwstr>
  </property>
  <property fmtid="{D5CDD505-2E9C-101B-9397-08002B2CF9AE}" pid="4" name="CalculationRule">
    <vt:i4>0</vt:i4>
  </property>
</Properties>
</file>